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ja_JP/_content_weekly-status-report-templates - DE^JES^JFR^JIT^JPT^JJP/"/>
    </mc:Choice>
  </mc:AlternateContent>
  <xr:revisionPtr revIDLastSave="20" documentId="13_ncr:1_{C54364AD-CAAB-4D3C-97D7-F44041B84A81}" xr6:coauthVersionLast="47" xr6:coauthVersionMax="47" xr10:uidLastSave="{7D36A6B9-8252-46A6-94FD-7E263A807387}"/>
  <bookViews>
    <workbookView xWindow="-120" yWindow="-120" windowWidth="20730" windowHeight="11160" tabRatio="500" xr2:uid="{00000000-000D-0000-FFFF-FFFF00000000}"/>
  </bookViews>
  <sheets>
    <sheet name="EX - 週次アジャイル スプリント レポート" sheetId="1" r:id="rId1"/>
    <sheet name="空白 - 週次アジャイル スプリント レポート" sheetId="10" r:id="rId2"/>
    <sheet name="ドロップダウン キー" sheetId="9" r:id="rId3"/>
    <sheet name="– 免責条項 –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0" l="1"/>
  <c r="C55" i="10"/>
  <c r="C56" i="10"/>
  <c r="C57" i="10"/>
  <c r="C58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L61" i="10"/>
  <c r="H7" i="10"/>
  <c r="M61" i="10"/>
  <c r="M62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L57" i="10"/>
  <c r="L58" i="10"/>
  <c r="L59" i="10"/>
  <c r="L60" i="10"/>
  <c r="M57" i="10"/>
  <c r="M58" i="10"/>
  <c r="M59" i="10"/>
  <c r="M60" i="10"/>
  <c r="N57" i="10"/>
  <c r="N58" i="10"/>
  <c r="N59" i="10"/>
  <c r="N60" i="10"/>
  <c r="O57" i="10"/>
  <c r="O58" i="10"/>
  <c r="O59" i="10"/>
  <c r="O60" i="10"/>
  <c r="P57" i="10"/>
  <c r="P58" i="10"/>
  <c r="P59" i="10"/>
  <c r="P60" i="10"/>
  <c r="Q57" i="10"/>
  <c r="Q58" i="10"/>
  <c r="Q59" i="10"/>
  <c r="Q60" i="10"/>
  <c r="R57" i="10"/>
  <c r="R58" i="10"/>
  <c r="R59" i="10"/>
  <c r="R60" i="10"/>
  <c r="S57" i="10"/>
  <c r="S58" i="10"/>
  <c r="S59" i="10"/>
  <c r="S60" i="10"/>
  <c r="T57" i="10"/>
  <c r="T58" i="10"/>
  <c r="T59" i="10"/>
  <c r="T60" i="10"/>
  <c r="U57" i="10"/>
  <c r="U58" i="10"/>
  <c r="U59" i="10"/>
  <c r="U60" i="10"/>
  <c r="V57" i="10"/>
  <c r="V58" i="10"/>
  <c r="V59" i="10"/>
  <c r="V60" i="10"/>
  <c r="W57" i="10"/>
  <c r="W58" i="10"/>
  <c r="W59" i="10"/>
  <c r="W60" i="10"/>
  <c r="X57" i="10"/>
  <c r="X58" i="10"/>
  <c r="X59" i="10"/>
  <c r="X60" i="10"/>
  <c r="Y57" i="10"/>
  <c r="Y58" i="10"/>
  <c r="Y59" i="10"/>
  <c r="Y60" i="10"/>
  <c r="Z57" i="10"/>
  <c r="Z58" i="10"/>
  <c r="Z59" i="10"/>
  <c r="Z60" i="10"/>
  <c r="AA57" i="10"/>
  <c r="AA58" i="10"/>
  <c r="AA59" i="10"/>
  <c r="AA60" i="10"/>
  <c r="AB57" i="10"/>
  <c r="AB58" i="10"/>
  <c r="AB59" i="10"/>
  <c r="AB60" i="10"/>
  <c r="AC60" i="10"/>
  <c r="AC59" i="10"/>
  <c r="AC58" i="10"/>
  <c r="D54" i="10"/>
  <c r="D55" i="10"/>
  <c r="D56" i="10"/>
  <c r="D57" i="10"/>
  <c r="D58" i="10"/>
  <c r="AC57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E7" i="10"/>
  <c r="G7" i="10"/>
  <c r="D7" i="10"/>
  <c r="F7" i="10"/>
  <c r="I3" i="10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E7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L61" i="1"/>
  <c r="H7" i="1"/>
  <c r="M61" i="1"/>
  <c r="M62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56" i="1"/>
  <c r="G19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10" i="1"/>
  <c r="G7" i="1"/>
  <c r="D7" i="1"/>
  <c r="C58" i="1"/>
  <c r="D56" i="1"/>
  <c r="D54" i="1"/>
  <c r="D55" i="1"/>
  <c r="D57" i="1"/>
  <c r="D58" i="1"/>
  <c r="F7" i="1"/>
  <c r="I3" i="1"/>
</calcChain>
</file>

<file path=xl/sharedStrings.xml><?xml version="1.0" encoding="utf-8"?>
<sst xmlns="http://schemas.openxmlformats.org/spreadsheetml/2006/main" count="219" uniqueCount="97">
  <si>
    <t>Alex B.</t>
  </si>
  <si>
    <t>Frank C.</t>
  </si>
  <si>
    <t>Jacob S.</t>
  </si>
  <si>
    <t>Kennedy K.</t>
  </si>
  <si>
    <t>Mitch A.</t>
  </si>
  <si>
    <t>Dawn P.</t>
  </si>
  <si>
    <t>00/00/0000</t>
  </si>
  <si>
    <t>00/00/0001</t>
  </si>
  <si>
    <t>00/00/0002</t>
  </si>
  <si>
    <r>
      <rPr>
        <b/>
        <sz val="24"/>
        <color theme="1" tint="0.34998626667073579"/>
        <rFont val="MS PGothic"/>
        <family val="2"/>
        <charset val="128"/>
      </rPr>
      <t>週次アジャイル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スプリント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ステータス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レポート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</si>
  <si>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r>
      <rPr>
        <sz val="12"/>
        <color theme="1"/>
        <rFont val="MS PGothic"/>
        <family val="2"/>
        <charset val="128"/>
      </rPr>
      <t>プロジェクト名</t>
    </r>
  </si>
  <si>
    <r>
      <rPr>
        <sz val="12"/>
        <color theme="1"/>
        <rFont val="MS PGothic"/>
        <family val="2"/>
        <charset val="128"/>
      </rPr>
      <t>開始日</t>
    </r>
  </si>
  <si>
    <r>
      <rPr>
        <sz val="12"/>
        <color theme="1"/>
        <rFont val="MS PGothic"/>
        <family val="2"/>
        <charset val="128"/>
      </rPr>
      <t>終了日</t>
    </r>
  </si>
  <si>
    <r>
      <rPr>
        <sz val="12"/>
        <color theme="1"/>
        <rFont val="MS PGothic"/>
        <family val="2"/>
        <charset val="128"/>
      </rPr>
      <t>プログラム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ステータス</t>
    </r>
  </si>
  <si>
    <r>
      <rPr>
        <sz val="12"/>
        <color theme="1"/>
        <rFont val="MS PGothic"/>
        <family val="2"/>
        <charset val="128"/>
      </rPr>
      <t>完了率</t>
    </r>
  </si>
  <si>
    <r>
      <t xml:space="preserve">[ </t>
    </r>
    <r>
      <rPr>
        <sz val="14"/>
        <color theme="1"/>
        <rFont val="MS PGothic"/>
        <family val="2"/>
        <charset val="128"/>
      </rPr>
      <t>名前</t>
    </r>
    <r>
      <rPr>
        <sz val="14"/>
        <color theme="1"/>
        <rFont val="Century Gothic"/>
        <family val="2"/>
      </rPr>
      <t xml:space="preserve"> ]</t>
    </r>
  </si>
  <si>
    <r>
      <rPr>
        <sz val="14"/>
        <color theme="1"/>
        <rFont val="MS PGothic"/>
        <family val="2"/>
        <charset val="128"/>
      </rPr>
      <t>順調</t>
    </r>
  </si>
  <si>
    <r>
      <t xml:space="preserve">––––––––––––––– </t>
    </r>
    <r>
      <rPr>
        <b/>
        <sz val="12"/>
        <color theme="1"/>
        <rFont val="MS PGothic"/>
        <family val="2"/>
        <charset val="128"/>
      </rPr>
      <t>ストーリー</t>
    </r>
    <r>
      <rPr>
        <b/>
        <sz val="12"/>
        <color theme="1"/>
        <rFont val="Century Gothic"/>
        <family val="2"/>
      </rPr>
      <t xml:space="preserve"> </t>
    </r>
    <r>
      <rPr>
        <b/>
        <sz val="12"/>
        <color theme="1"/>
        <rFont val="MS PGothic"/>
        <family val="2"/>
        <charset val="128"/>
      </rPr>
      <t>ポイントの数</t>
    </r>
    <r>
      <rPr>
        <b/>
        <sz val="12"/>
        <color theme="1"/>
        <rFont val="Century Gothic"/>
        <family val="2"/>
      </rPr>
      <t xml:space="preserve"> –––––––––––––––</t>
    </r>
  </si>
  <si>
    <r>
      <rPr>
        <b/>
        <sz val="11"/>
        <color theme="1"/>
        <rFont val="MS PGothic"/>
        <family val="2"/>
        <charset val="128"/>
      </rPr>
      <t>平均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完了数</t>
    </r>
  </si>
  <si>
    <r>
      <rPr>
        <b/>
        <sz val="11"/>
        <color theme="1"/>
        <rFont val="MS PGothic"/>
        <family val="2"/>
        <charset val="128"/>
      </rPr>
      <t>合計週数</t>
    </r>
  </si>
  <si>
    <r>
      <rPr>
        <b/>
        <sz val="11"/>
        <color theme="1"/>
        <rFont val="MS PGothic"/>
        <family val="2"/>
        <charset val="128"/>
      </rPr>
      <t>合計</t>
    </r>
  </si>
  <si>
    <r>
      <rPr>
        <b/>
        <sz val="11"/>
        <color theme="1"/>
        <rFont val="MS PGothic"/>
        <family val="2"/>
        <charset val="128"/>
      </rPr>
      <t>完了</t>
    </r>
  </si>
  <si>
    <r>
      <rPr>
        <b/>
        <sz val="11"/>
        <color theme="1"/>
        <rFont val="MS PGothic"/>
        <family val="2"/>
        <charset val="128"/>
      </rPr>
      <t>未完了</t>
    </r>
  </si>
  <si>
    <r>
      <rPr>
        <b/>
        <sz val="10"/>
        <color theme="0"/>
        <rFont val="MS PGothic"/>
        <family val="2"/>
        <charset val="128"/>
      </rPr>
      <t>タスク名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</si>
  <si>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</si>
  <si>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ストーリー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ポイント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</si>
  <si>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</si>
  <si>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</si>
  <si>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0"/>
        <color theme="0"/>
        <rFont val="MS PGothic"/>
        <family val="2"/>
        <charset val="128"/>
      </rPr>
      <t>予定日数</t>
    </r>
  </si>
  <si>
    <r>
      <rPr>
        <b/>
        <sz val="10"/>
        <color theme="0"/>
        <rFont val="MS PGothic"/>
        <family val="2"/>
        <charset val="128"/>
      </rPr>
      <t>実際の日数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</si>
  <si>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</si>
  <si>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</si>
  <si>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パート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</si>
  <si>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</si>
  <si>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パート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</si>
  <si>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順調</t>
    </r>
  </si>
  <si>
    <r>
      <rPr>
        <sz val="10"/>
        <color theme="1"/>
        <rFont val="MS PGothic"/>
        <family val="2"/>
        <charset val="128"/>
      </rPr>
      <t>パート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</si>
  <si>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</si>
  <si>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遅延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</si>
  <si>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</si>
  <si>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</si>
  <si>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4</t>
    </r>
  </si>
  <si>
    <r>
      <rPr>
        <sz val="22"/>
        <color theme="1" tint="0.34998626667073579"/>
        <rFont val="MS PGothic"/>
        <family val="2"/>
        <charset val="128"/>
      </rPr>
      <t>プロジェクト全体のステータス</t>
    </r>
  </si>
  <si>
    <r>
      <rPr>
        <sz val="22"/>
        <color theme="1" tint="0.34998626667073579"/>
        <rFont val="MS PGothic"/>
        <family val="2"/>
        <charset val="128"/>
      </rPr>
      <t>週次バーンダウン</t>
    </r>
    <r>
      <rPr>
        <sz val="22"/>
        <color theme="1" tint="0.34998626667073579"/>
        <rFont val="Century Gothic"/>
        <family val="2"/>
      </rPr>
      <t xml:space="preserve"> </t>
    </r>
    <r>
      <rPr>
        <sz val="22"/>
        <color theme="1" tint="0.34998626667073579"/>
        <rFont val="MS PGothic"/>
        <family val="2"/>
        <charset val="128"/>
      </rPr>
      <t>チャート</t>
    </r>
  </si>
  <si>
    <r>
      <rPr>
        <sz val="22"/>
        <color theme="1" tint="0.34998626667073579"/>
        <rFont val="MS PGothic"/>
        <family val="2"/>
        <charset val="128"/>
      </rPr>
      <t>レビュー</t>
    </r>
  </si>
  <si>
    <r>
      <rPr>
        <b/>
        <sz val="10"/>
        <color theme="1"/>
        <rFont val="MS PGothic"/>
        <family val="2"/>
        <charset val="128"/>
      </rPr>
      <t>今週は何がうまくいったか？</t>
    </r>
  </si>
  <si>
    <r>
      <rPr>
        <b/>
        <sz val="10"/>
        <color theme="1"/>
        <rFont val="MS PGothic"/>
        <family val="2"/>
        <charset val="128"/>
      </rPr>
      <t>来週は何を改善できるか？</t>
    </r>
  </si>
  <si>
    <r>
      <rPr>
        <sz val="22"/>
        <color theme="1" tint="0.34998626667073579"/>
        <rFont val="MS PGothic"/>
        <family val="2"/>
        <charset val="128"/>
      </rPr>
      <t>リスクと障害</t>
    </r>
  </si>
  <si>
    <r>
      <rPr>
        <b/>
        <sz val="10"/>
        <color theme="1"/>
        <rFont val="MS PGothic"/>
        <family val="2"/>
        <charset val="128"/>
      </rPr>
      <t>リスク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障害</t>
    </r>
  </si>
  <si>
    <r>
      <rPr>
        <b/>
        <sz val="10"/>
        <color theme="1"/>
        <rFont val="MS PGothic"/>
        <family val="2"/>
        <charset val="128"/>
      </rPr>
      <t>報告日</t>
    </r>
  </si>
  <si>
    <r>
      <rPr>
        <b/>
        <sz val="10"/>
        <color theme="1"/>
        <rFont val="MS PGothic"/>
        <family val="2"/>
        <charset val="128"/>
      </rPr>
      <t>解決日</t>
    </r>
  </si>
  <si>
    <r>
      <rPr>
        <b/>
        <sz val="10"/>
        <color theme="1"/>
        <rFont val="MS PGothic"/>
        <family val="2"/>
        <charset val="128"/>
      </rPr>
      <t>解決法</t>
    </r>
  </si>
  <si>
    <r>
      <rPr>
        <sz val="10"/>
        <color theme="1"/>
        <rFont val="MS PGothic"/>
        <family val="2"/>
        <charset val="128"/>
      </rPr>
      <t>リスクの説明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</si>
  <si>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解決法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</si>
  <si>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リスクの説明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</si>
  <si>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解決法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</si>
  <si>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リスクの説明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</si>
  <si>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解決法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</si>
  <si>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リスクの説明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</si>
  <si>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解決法</t>
    </r>
    <r>
      <rPr>
        <sz val="10"/>
        <color theme="1"/>
        <rFont val="Century Gothic"/>
        <family val="2"/>
      </rPr>
      <t xml:space="preserve"> 4</t>
    </r>
  </si>
  <si>
    <r>
      <rPr>
        <sz val="14"/>
        <color theme="1" tint="0.34998626667073579"/>
        <rFont val="MS PGothic"/>
        <family val="2"/>
        <charset val="128"/>
      </rPr>
      <t>ステータスの内訳</t>
    </r>
  </si>
  <si>
    <r>
      <t xml:space="preserve">– </t>
    </r>
    <r>
      <rPr>
        <sz val="10"/>
        <color theme="1"/>
        <rFont val="MS PGothic"/>
        <family val="2"/>
        <charset val="128"/>
      </rPr>
      <t>自動的に計算</t>
    </r>
    <r>
      <rPr>
        <sz val="10"/>
        <color theme="1"/>
        <rFont val="Century Gothic"/>
        <family val="2"/>
      </rPr>
      <t xml:space="preserve"> –</t>
    </r>
  </si>
  <si>
    <r>
      <rPr>
        <sz val="14"/>
        <color theme="1" tint="0.34998626667073579"/>
        <rFont val="MS PGothic"/>
        <family val="2"/>
        <charset val="128"/>
      </rPr>
      <t>バーンダウン</t>
    </r>
    <r>
      <rPr>
        <sz val="14"/>
        <color theme="1" tint="0.34998626667073579"/>
        <rFont val="Century Gothic"/>
        <family val="2"/>
      </rPr>
      <t xml:space="preserve"> </t>
    </r>
    <r>
      <rPr>
        <sz val="14"/>
        <color theme="1" tint="0.34998626667073579"/>
        <rFont val="MS PGothic"/>
        <family val="2"/>
        <charset val="128"/>
      </rPr>
      <t>データ</t>
    </r>
    <r>
      <rPr>
        <sz val="14"/>
        <color theme="1" tint="0.34998626667073579"/>
        <rFont val="Century Gothic"/>
        <family val="2"/>
      </rPr>
      <t xml:space="preserve"> ***</t>
    </r>
    <r>
      <rPr>
        <sz val="14"/>
        <color theme="1" tint="0.34998626667073579"/>
        <rFont val="MS PGothic"/>
        <family val="2"/>
        <charset val="128"/>
      </rPr>
      <t>削除しないでください</t>
    </r>
    <r>
      <rPr>
        <sz val="14"/>
        <color theme="1" tint="0.34998626667073579"/>
        <rFont val="Century Gothic"/>
        <family val="2"/>
      </rPr>
      <t>***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</si>
  <si>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</si>
  <si>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</si>
  <si>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</si>
  <si>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</si>
  <si>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</si>
  <si>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</si>
  <si>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</si>
  <si>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</si>
  <si>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</si>
  <si>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</si>
  <si>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</si>
  <si>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12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</si>
  <si>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13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</si>
  <si>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14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</si>
  <si>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15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</si>
  <si>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16</t>
    </r>
  </si>
  <si>
    <r>
      <rPr>
        <sz val="10"/>
        <color theme="1"/>
        <rFont val="MS PGothic"/>
        <family val="2"/>
        <charset val="128"/>
      </rPr>
      <t>週</t>
    </r>
    <r>
      <rPr>
        <sz val="10"/>
        <color theme="1"/>
        <rFont val="Century Gothic"/>
        <family val="2"/>
      </rPr>
      <t xml:space="preserve"> 17</t>
    </r>
  </si>
  <si>
    <r>
      <rPr>
        <sz val="10"/>
        <color theme="1"/>
        <rFont val="MS PGothic"/>
        <family val="2"/>
        <charset val="128"/>
      </rPr>
      <t>合計</t>
    </r>
  </si>
  <si>
    <r>
      <rPr>
        <sz val="10"/>
        <color rgb="FF000000"/>
        <rFont val="MS PGothic"/>
        <family val="2"/>
        <charset val="128"/>
      </rPr>
      <t>順調</t>
    </r>
  </si>
  <si>
    <r>
      <rPr>
        <sz val="10"/>
        <color theme="1"/>
        <rFont val="MS PGothic"/>
        <family val="2"/>
        <charset val="128"/>
      </rPr>
      <t>ストーリー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ポイント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</si>
  <si>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</si>
  <si>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残りの工数</t>
    </r>
  </si>
  <si>
    <r>
      <rPr>
        <sz val="10"/>
        <color theme="1"/>
        <rFont val="MS PGothic"/>
        <family val="2"/>
        <charset val="128"/>
      </rPr>
      <t>理想的なバーンダウン</t>
    </r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</si>
  <si>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</si>
  <si>
    <t>理想的なバーンダウン</t>
    <phoneticPr fontId="8" type="noConversion"/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</si>
  <si>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</si>
  <si>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22"/>
        <color theme="1" tint="0.34998626667073579"/>
        <rFont val="MS PGothic"/>
        <family val="2"/>
        <charset val="128"/>
      </rPr>
      <t>ドロップダウン</t>
    </r>
    <r>
      <rPr>
        <sz val="22"/>
        <color theme="1" tint="0.34998626667073579"/>
        <rFont val="Century Gothic"/>
        <family val="2"/>
      </rPr>
      <t xml:space="preserve"> </t>
    </r>
    <r>
      <rPr>
        <sz val="22"/>
        <color theme="1" tint="0.34998626667073579"/>
        <rFont val="MS PGothic"/>
        <family val="2"/>
        <charset val="128"/>
      </rPr>
      <t>キー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</si>
  <si>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</si>
  <si>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</si>
  <si>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</si>
  <si>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</si>
  <si>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高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</si>
  <si>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4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</si>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</sst>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;@"/>
  </numFmts>
  <fonts count="4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entury Gothic"/>
      <family val="2"/>
    </font>
    <font>
      <sz val="8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4"/>
      <color theme="1" tint="0.34998626667073579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22"/>
      <color theme="0"/>
      <name val="MS PGothic"/>
      <family val="2"/>
      <charset val="128"/>
    </font>
    <font>
      <sz val="12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3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4"/>
      <color theme="1" tint="0.34998626667073579"/>
      <name val="Century Gothic"/>
      <family val="2"/>
    </font>
    <font>
      <b/>
      <u/>
      <sz val="22"/>
      <color theme="0"/>
      <name val="Century Gothic"/>
      <family val="2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sz val="11"/>
      <color indexed="8"/>
      <name val="Century Gothic"/>
      <family val="2"/>
    </font>
    <font>
      <sz val="10"/>
      <color theme="1"/>
      <name val="Century Gothic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A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2B4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4" fillId="0" borderId="2" xfId="12" applyFont="1" applyBorder="1" applyAlignment="1">
      <alignment horizontal="left" vertical="center" wrapText="1" indent="2"/>
    </xf>
    <xf numFmtId="0" fontId="3" fillId="0" borderId="0" xfId="12"/>
    <xf numFmtId="0" fontId="7" fillId="3" borderId="0" xfId="13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2" fillId="0" borderId="0" xfId="0" applyFont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wrapText="1"/>
    </xf>
    <xf numFmtId="0" fontId="22" fillId="2" borderId="4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vertical="top" wrapText="1"/>
    </xf>
    <xf numFmtId="10" fontId="22" fillId="2" borderId="4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164" fontId="29" fillId="2" borderId="16" xfId="0" applyNumberFormat="1" applyFont="1" applyFill="1" applyBorder="1" applyAlignment="1">
      <alignment horizontal="center" vertical="center" wrapText="1"/>
    </xf>
    <xf numFmtId="164" fontId="29" fillId="2" borderId="13" xfId="0" applyNumberFormat="1" applyFont="1" applyFill="1" applyBorder="1" applyAlignment="1">
      <alignment horizontal="center" vertical="center" wrapText="1"/>
    </xf>
    <xf numFmtId="164" fontId="29" fillId="2" borderId="15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9" fontId="29" fillId="2" borderId="17" xfId="1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65" fontId="32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9" fontId="32" fillId="2" borderId="0" xfId="14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3" fillId="15" borderId="5" xfId="14" applyNumberFormat="1" applyFont="1" applyFill="1" applyBorder="1" applyAlignment="1">
      <alignment horizontal="center" vertical="center" wrapText="1"/>
    </xf>
    <xf numFmtId="0" fontId="33" fillId="12" borderId="5" xfId="14" applyNumberFormat="1" applyFont="1" applyFill="1" applyBorder="1" applyAlignment="1">
      <alignment horizontal="center" vertical="center" wrapText="1"/>
    </xf>
    <xf numFmtId="2" fontId="33" fillId="11" borderId="5" xfId="14" applyNumberFormat="1" applyFont="1" applyFill="1" applyBorder="1" applyAlignment="1">
      <alignment horizontal="center" vertical="center" wrapText="1"/>
    </xf>
    <xf numFmtId="1" fontId="33" fillId="4" borderId="5" xfId="14" applyNumberFormat="1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left" vertical="center" indent="1"/>
    </xf>
    <xf numFmtId="0" fontId="34" fillId="14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left" vertical="center" indent="1"/>
    </xf>
    <xf numFmtId="165" fontId="28" fillId="10" borderId="1" xfId="0" applyNumberFormat="1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indent="1"/>
    </xf>
    <xf numFmtId="0" fontId="35" fillId="0" borderId="1" xfId="0" applyFont="1" applyBorder="1" applyAlignment="1">
      <alignment horizontal="left" vertical="center" indent="1"/>
    </xf>
    <xf numFmtId="165" fontId="28" fillId="0" borderId="1" xfId="0" applyNumberFormat="1" applyFont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left" vertical="center" indent="1"/>
    </xf>
    <xf numFmtId="0" fontId="36" fillId="2" borderId="0" xfId="0" applyFont="1" applyFill="1" applyAlignment="1">
      <alignment vertical="top"/>
    </xf>
    <xf numFmtId="0" fontId="36" fillId="2" borderId="0" xfId="0" applyFont="1" applyFill="1" applyAlignment="1">
      <alignment horizontal="left" vertical="top" indent="1"/>
    </xf>
    <xf numFmtId="0" fontId="37" fillId="10" borderId="10" xfId="0" applyFont="1" applyFill="1" applyBorder="1" applyAlignment="1">
      <alignment horizontal="left" vertical="center" indent="1"/>
    </xf>
    <xf numFmtId="0" fontId="28" fillId="10" borderId="11" xfId="0" applyFont="1" applyFill="1" applyBorder="1" applyAlignment="1">
      <alignment wrapText="1"/>
    </xf>
    <xf numFmtId="0" fontId="28" fillId="10" borderId="12" xfId="0" applyFont="1" applyFill="1" applyBorder="1" applyAlignment="1">
      <alignment wrapText="1"/>
    </xf>
    <xf numFmtId="0" fontId="28" fillId="2" borderId="8" xfId="0" applyFont="1" applyFill="1" applyBorder="1" applyAlignment="1">
      <alignment horizontal="left" vertical="center" indent="1"/>
    </xf>
    <xf numFmtId="0" fontId="28" fillId="2" borderId="4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0" fontId="37" fillId="2" borderId="6" xfId="0" applyFont="1" applyFill="1" applyBorder="1" applyAlignment="1">
      <alignment horizontal="left" wrapText="1"/>
    </xf>
    <xf numFmtId="0" fontId="37" fillId="2" borderId="6" xfId="0" applyFont="1" applyFill="1" applyBorder="1" applyAlignment="1">
      <alignment horizontal="center" wrapText="1"/>
    </xf>
    <xf numFmtId="0" fontId="28" fillId="2" borderId="7" xfId="0" applyFont="1" applyFill="1" applyBorder="1" applyAlignment="1">
      <alignment horizontal="left" vertical="center" wrapText="1" indent="1"/>
    </xf>
    <xf numFmtId="164" fontId="28" fillId="2" borderId="7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 indent="1"/>
    </xf>
    <xf numFmtId="164" fontId="28" fillId="2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1" fontId="28" fillId="11" borderId="1" xfId="0" applyNumberFormat="1" applyFont="1" applyFill="1" applyBorder="1" applyAlignment="1">
      <alignment horizontal="left" vertical="center" indent="1"/>
    </xf>
    <xf numFmtId="10" fontId="28" fillId="11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 indent="1" readingOrder="1"/>
    </xf>
    <xf numFmtId="0" fontId="28" fillId="0" borderId="0" xfId="0" applyFont="1" applyAlignment="1">
      <alignment vertical="center" wrapText="1"/>
    </xf>
    <xf numFmtId="0" fontId="28" fillId="1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left" vertical="center" wrapText="1" indent="1"/>
    </xf>
    <xf numFmtId="0" fontId="28" fillId="17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right" vertical="center" indent="1"/>
    </xf>
    <xf numFmtId="1" fontId="28" fillId="4" borderId="1" xfId="0" applyNumberFormat="1" applyFont="1" applyFill="1" applyBorder="1" applyAlignment="1">
      <alignment horizontal="left" vertical="center" indent="1"/>
    </xf>
    <xf numFmtId="9" fontId="28" fillId="4" borderId="1" xfId="14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wrapText="1"/>
    </xf>
    <xf numFmtId="0" fontId="28" fillId="1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 indent="1"/>
    </xf>
    <xf numFmtId="0" fontId="41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 wrapText="1" indent="1"/>
    </xf>
    <xf numFmtId="0" fontId="37" fillId="4" borderId="3" xfId="0" applyFont="1" applyFill="1" applyBorder="1" applyAlignment="1">
      <alignment horizontal="left" vertical="center" wrapText="1" indent="1"/>
    </xf>
    <xf numFmtId="0" fontId="37" fillId="4" borderId="3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left" vertical="center" indent="1"/>
    </xf>
    <xf numFmtId="0" fontId="35" fillId="7" borderId="1" xfId="0" applyFont="1" applyFill="1" applyBorder="1" applyAlignment="1">
      <alignment horizontal="left" vertical="center" indent="1"/>
    </xf>
    <xf numFmtId="0" fontId="35" fillId="6" borderId="1" xfId="0" applyFont="1" applyFill="1" applyBorder="1" applyAlignment="1">
      <alignment horizontal="left" vertical="center" indent="1"/>
    </xf>
    <xf numFmtId="0" fontId="42" fillId="0" borderId="0" xfId="0" applyFont="1"/>
    <xf numFmtId="1" fontId="43" fillId="11" borderId="1" xfId="0" applyNumberFormat="1" applyFont="1" applyFill="1" applyBorder="1" applyAlignment="1">
      <alignment horizontal="left" vertical="center" indent="1"/>
    </xf>
    <xf numFmtId="0" fontId="31" fillId="2" borderId="0" xfId="0" applyFont="1" applyFill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9" fillId="3" borderId="4" xfId="13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top" wrapText="1"/>
    </xf>
    <xf numFmtId="0" fontId="29" fillId="2" borderId="14" xfId="0" applyFont="1" applyFill="1" applyBorder="1" applyAlignment="1">
      <alignment horizontal="left" vertical="center" wrapText="1" indent="1"/>
    </xf>
    <xf numFmtId="0" fontId="29" fillId="2" borderId="15" xfId="0" applyFont="1" applyFill="1" applyBorder="1" applyAlignment="1">
      <alignment horizontal="left" vertical="center" wrapText="1" indent="1"/>
    </xf>
    <xf numFmtId="0" fontId="28" fillId="0" borderId="4" xfId="0" applyFont="1" applyBorder="1" applyAlignment="1">
      <alignment horizontal="center"/>
    </xf>
    <xf numFmtId="0" fontId="30" fillId="2" borderId="0" xfId="0" applyFont="1" applyFill="1" applyAlignment="1">
      <alignment horizontal="center" vertical="center" wrapText="1"/>
    </xf>
    <xf numFmtId="0" fontId="5" fillId="3" borderId="4" xfId="13" applyFill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C000000}"/>
    <cellStyle name="Percent" xfId="14" builtinId="5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4"/>
  <colors>
    <mruColors>
      <color rgb="FFABEFEA"/>
      <color rgb="FFED7D31"/>
      <color rgb="FFFFB2B4"/>
      <color rgb="FFEAEEF3"/>
      <color rgb="FFFFE1A9"/>
      <color rgb="FFF4B183"/>
      <color rgb="FFFFE0A9"/>
      <color rgb="FF00DBF0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DD-F141-ADE6-694C8238060A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DD-F141-ADE6-694C8238060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DD-F141-ADE6-694C8238060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DD-F141-ADE6-694C82380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 - 週次アジャイル スプリント レポート'!$B$54:$B$57</c:f>
              <c:strCache>
                <c:ptCount val="4"/>
                <c:pt idx="0">
                  <c:v>未開始</c:v>
                </c:pt>
                <c:pt idx="1">
                  <c:v>順調</c:v>
                </c:pt>
                <c:pt idx="2">
                  <c:v>完了</c:v>
                </c:pt>
                <c:pt idx="3">
                  <c:v>遅延</c:v>
                </c:pt>
              </c:strCache>
            </c:strRef>
          </c:cat>
          <c:val>
            <c:numRef>
              <c:f>'EX - 週次アジャイル スプリント レポート'!$C$54:$C$57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DD-F141-ADE6-694C8238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8476528"/>
        <c:axId val="1108474880"/>
      </c:barChart>
      <c:valAx>
        <c:axId val="110847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08476528"/>
        <c:crosses val="autoZero"/>
        <c:crossBetween val="between"/>
      </c:valAx>
      <c:catAx>
        <c:axId val="110847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08474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9068241469814"/>
          <c:y val="0.67398169036633826"/>
          <c:w val="0.24154265091863517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 - 週次アジャイル スプリント レポート'!$K$55</c:f>
              <c:strCache>
                <c:ptCount val="1"/>
                <c:pt idx="0">
                  <c:v>ストーリー ポイント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'EX - 週次アジャイル スプリント レポート'!$L$55:$AB$55</c:f>
              <c:numCache>
                <c:formatCode>General</c:formatCode>
                <c:ptCount val="17"/>
                <c:pt idx="0">
                  <c:v>18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B-7C4F-ACCA-3EE749DE6015}"/>
            </c:ext>
          </c:extLst>
        </c:ser>
        <c:ser>
          <c:idx val="1"/>
          <c:order val="1"/>
          <c:tx>
            <c:strRef>
              <c:f>'EX - 週次アジャイル スプリント レポート'!$K$56</c:f>
              <c:strCache>
                <c:ptCount val="1"/>
                <c:pt idx="0">
                  <c:v>完了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'EX - 週次アジャイル スプリント レポート'!$L$56:$AB$56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B-7C4F-ACCA-3EE749DE6015}"/>
            </c:ext>
          </c:extLst>
        </c:ser>
        <c:ser>
          <c:idx val="2"/>
          <c:order val="2"/>
          <c:tx>
            <c:strRef>
              <c:f>'EX - 週次アジャイル スプリント レポート'!$K$61</c:f>
              <c:strCache>
                <c:ptCount val="1"/>
                <c:pt idx="0">
                  <c:v>理想的なバーンダウン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'EX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'EX - 週次アジャイル スプリント レポート'!$L$61:$AB$61</c:f>
              <c:numCache>
                <c:formatCode>General</c:formatCode>
                <c:ptCount val="17"/>
                <c:pt idx="0">
                  <c:v>54</c:v>
                </c:pt>
                <c:pt idx="1">
                  <c:v>49.5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31.5</c:v>
                </c:pt>
                <c:pt idx="6">
                  <c:v>27</c:v>
                </c:pt>
                <c:pt idx="7">
                  <c:v>22.5</c:v>
                </c:pt>
                <c:pt idx="8">
                  <c:v>18</c:v>
                </c:pt>
                <c:pt idx="9">
                  <c:v>13.5</c:v>
                </c:pt>
                <c:pt idx="10">
                  <c:v>9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B-7C4F-ACCA-3EE749DE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8352"/>
        <c:axId val="5060000"/>
      </c:lineChart>
      <c:catAx>
        <c:axId val="505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0000"/>
        <c:crosses val="autoZero"/>
        <c:auto val="1"/>
        <c:lblAlgn val="ctr"/>
        <c:lblOffset val="100"/>
        <c:noMultiLvlLbl val="0"/>
      </c:catAx>
      <c:valAx>
        <c:axId val="506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'EX - 週次アジャイル スプリント レポート'!$K$60</c:f>
              <c:strCache>
                <c:ptCount val="1"/>
                <c:pt idx="0">
                  <c:v>残りの工数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BEFEA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'EX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'EX - 週次アジャイル スプリント レポート'!$L$60:$AB$60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3-DC4A-8F61-837B6928150C}"/>
            </c:ext>
          </c:extLst>
        </c:ser>
        <c:ser>
          <c:idx val="2"/>
          <c:order val="1"/>
          <c:tx>
            <c:strRef>
              <c:f>'EX - 週次アジャイル スプリント レポート'!$K$61</c:f>
              <c:strCache>
                <c:ptCount val="1"/>
                <c:pt idx="0">
                  <c:v>理想的なバーンダウン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'EX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'EX - 週次アジャイル スプリント レポート'!$L$61:$AB$61</c:f>
              <c:numCache>
                <c:formatCode>General</c:formatCode>
                <c:ptCount val="17"/>
                <c:pt idx="0">
                  <c:v>54</c:v>
                </c:pt>
                <c:pt idx="1">
                  <c:v>49.5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31.5</c:v>
                </c:pt>
                <c:pt idx="6">
                  <c:v>27</c:v>
                </c:pt>
                <c:pt idx="7">
                  <c:v>22.5</c:v>
                </c:pt>
                <c:pt idx="8">
                  <c:v>18</c:v>
                </c:pt>
                <c:pt idx="9">
                  <c:v>13.5</c:v>
                </c:pt>
                <c:pt idx="10">
                  <c:v>9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E3-DC4A-8F61-837B6928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3728"/>
        <c:axId val="5234128"/>
      </c:lineChart>
      <c:catAx>
        <c:axId val="523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5234128"/>
        <c:crosses val="autoZero"/>
        <c:auto val="1"/>
        <c:lblAlgn val="ctr"/>
        <c:lblOffset val="100"/>
        <c:noMultiLvlLbl val="0"/>
      </c:catAx>
      <c:valAx>
        <c:axId val="523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52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C-1B40-815D-C71E2644D88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C-1B40-815D-C71E2644D8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C-1B40-815D-C71E2644D8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C-1B40-815D-C71E2644D8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- 週次アジャイル スプリント レポート'!$B$54:$B$57</c:f>
              <c:strCache>
                <c:ptCount val="4"/>
                <c:pt idx="0">
                  <c:v>未開始</c:v>
                </c:pt>
                <c:pt idx="1">
                  <c:v>順調</c:v>
                </c:pt>
                <c:pt idx="2">
                  <c:v>完了</c:v>
                </c:pt>
                <c:pt idx="3">
                  <c:v>遅延</c:v>
                </c:pt>
              </c:strCache>
            </c:strRef>
          </c:cat>
          <c:val>
            <c:numRef>
              <c:f>'空白 - 週次アジャイル スプリント レポート'!$C$54:$C$57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7C-1B40-815D-C71E2644D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8476528"/>
        <c:axId val="1108474880"/>
      </c:barChart>
      <c:valAx>
        <c:axId val="110847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08476528"/>
        <c:crosses val="autoZero"/>
        <c:crossBetween val="between"/>
      </c:valAx>
      <c:catAx>
        <c:axId val="110847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08474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9068241469814"/>
          <c:y val="0.67398169036633826"/>
          <c:w val="0.24154265091863517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- 週次アジャイル スプリント レポート'!$K$55</c:f>
              <c:strCache>
                <c:ptCount val="1"/>
                <c:pt idx="0">
                  <c:v>ストーリー ポイント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'空白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'空白 - 週次アジャイル スプリント レポート'!$L$55:$AB$55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4-DA47-87B9-A1B658E11F24}"/>
            </c:ext>
          </c:extLst>
        </c:ser>
        <c:ser>
          <c:idx val="1"/>
          <c:order val="1"/>
          <c:tx>
            <c:strRef>
              <c:f>'空白 - 週次アジャイル スプリント レポート'!$K$56</c:f>
              <c:strCache>
                <c:ptCount val="1"/>
                <c:pt idx="0">
                  <c:v>完了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'空白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'空白 - 週次アジャイル スプリント レポート'!$L$56:$AB$56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4-DA47-87B9-A1B658E11F24}"/>
            </c:ext>
          </c:extLst>
        </c:ser>
        <c:ser>
          <c:idx val="2"/>
          <c:order val="2"/>
          <c:tx>
            <c:strRef>
              <c:f>'空白 - 週次アジャイル スプリント レポート'!$K$61</c:f>
              <c:strCache>
                <c:ptCount val="1"/>
                <c:pt idx="0">
                  <c:v>理想的なバーンダウン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'空白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'空白 - 週次アジャイル スプリント レポート'!$L$61:$AB$61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94-DA47-87B9-A1B658E11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8352"/>
        <c:axId val="5060000"/>
      </c:lineChart>
      <c:catAx>
        <c:axId val="505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0000"/>
        <c:crosses val="autoZero"/>
        <c:auto val="1"/>
        <c:lblAlgn val="ctr"/>
        <c:lblOffset val="100"/>
        <c:noMultiLvlLbl val="0"/>
      </c:catAx>
      <c:valAx>
        <c:axId val="506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'空白 - 週次アジャイル スプリント レポート'!$K$60</c:f>
              <c:strCache>
                <c:ptCount val="1"/>
                <c:pt idx="0">
                  <c:v>残りの工数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BEFEA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'空白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'空白 - 週次アジャイル スプリント レポート'!$L$60:$AB$60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1-964D-B206-AE4535440091}"/>
            </c:ext>
          </c:extLst>
        </c:ser>
        <c:ser>
          <c:idx val="2"/>
          <c:order val="1"/>
          <c:tx>
            <c:strRef>
              <c:f>'空白 - 週次アジャイル スプリント レポート'!$K$61</c:f>
              <c:strCache>
                <c:ptCount val="1"/>
                <c:pt idx="0">
                  <c:v>理想的なバーンダウン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'空白 - 週次アジャイル スプリント レポート'!$L$54:$AB$54</c:f>
              <c:strCache>
                <c:ptCount val="17"/>
                <c:pt idx="0">
                  <c:v>週 1</c:v>
                </c:pt>
                <c:pt idx="1">
                  <c:v>週 2</c:v>
                </c:pt>
                <c:pt idx="2">
                  <c:v>週 3</c:v>
                </c:pt>
                <c:pt idx="3">
                  <c:v>週 4</c:v>
                </c:pt>
                <c:pt idx="4">
                  <c:v>週 5</c:v>
                </c:pt>
                <c:pt idx="5">
                  <c:v>週 6</c:v>
                </c:pt>
                <c:pt idx="6">
                  <c:v>週 7</c:v>
                </c:pt>
                <c:pt idx="7">
                  <c:v>週 8</c:v>
                </c:pt>
                <c:pt idx="8">
                  <c:v>週 9</c:v>
                </c:pt>
                <c:pt idx="9">
                  <c:v>週 10</c:v>
                </c:pt>
                <c:pt idx="10">
                  <c:v>週 11</c:v>
                </c:pt>
                <c:pt idx="11">
                  <c:v>週 12</c:v>
                </c:pt>
                <c:pt idx="12">
                  <c:v>週 13</c:v>
                </c:pt>
                <c:pt idx="13">
                  <c:v>週 14</c:v>
                </c:pt>
                <c:pt idx="14">
                  <c:v>週 15</c:v>
                </c:pt>
                <c:pt idx="15">
                  <c:v>週 16</c:v>
                </c:pt>
                <c:pt idx="16">
                  <c:v>週 17</c:v>
                </c:pt>
              </c:strCache>
            </c:strRef>
          </c:cat>
          <c:val>
            <c:numRef>
              <c:f>'空白 - 週次アジャイル スプリント レポート'!$L$61:$AB$61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1-964D-B206-AE453544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3728"/>
        <c:axId val="5234128"/>
      </c:lineChart>
      <c:catAx>
        <c:axId val="523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5234128"/>
        <c:crosses val="autoZero"/>
        <c:auto val="1"/>
        <c:lblAlgn val="ctr"/>
        <c:lblOffset val="100"/>
        <c:noMultiLvlLbl val="0"/>
      </c:catAx>
      <c:valAx>
        <c:axId val="523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52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852&amp;utm_language=JP&amp;utm_source=template-excel&amp;utm_medium=content&amp;utm_campaign=ic-Weekly+Agile+Sprint+Status+Report-excel-77852-jp&amp;lpa=ic+Weekly+Agile+Sprint+Status+Report+excel+77852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1739900</xdr:colOff>
      <xdr:row>32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41C8DD-E0C3-C047-A486-4A34290F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260350</xdr:colOff>
      <xdr:row>65</xdr:row>
      <xdr:rowOff>82550</xdr:rowOff>
    </xdr:from>
    <xdr:to>
      <xdr:col>30</xdr:col>
      <xdr:colOff>228600</xdr:colOff>
      <xdr:row>95</xdr:row>
      <xdr:rowOff>147320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0C16AB-CFFD-723B-5551-B57CCD41A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146050</xdr:colOff>
      <xdr:row>27</xdr:row>
      <xdr:rowOff>19050</xdr:rowOff>
    </xdr:from>
    <xdr:to>
      <xdr:col>8</xdr:col>
      <xdr:colOff>1562100</xdr:colOff>
      <xdr:row>43</xdr:row>
      <xdr:rowOff>228600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0B1FAB-1E1D-5D8B-CDA9-89E6D5F43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565735</xdr:colOff>
      <xdr:row>0</xdr:row>
      <xdr:rowOff>28576</xdr:rowOff>
    </xdr:from>
    <xdr:to>
      <xdr:col>17</xdr:col>
      <xdr:colOff>173021</xdr:colOff>
      <xdr:row>0</xdr:row>
      <xdr:rowOff>523876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CED29A-D316-8F53-A741-516FC0E9A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015410" y="28576"/>
          <a:ext cx="2312386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1739900</xdr:colOff>
      <xdr:row>32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B6C08B-6549-6E4D-8250-69CAD6C65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260350</xdr:colOff>
      <xdr:row>65</xdr:row>
      <xdr:rowOff>82550</xdr:rowOff>
    </xdr:from>
    <xdr:to>
      <xdr:col>30</xdr:col>
      <xdr:colOff>228600</xdr:colOff>
      <xdr:row>95</xdr:row>
      <xdr:rowOff>147320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2A48C8-AC7E-C046-9587-41A68A10E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146050</xdr:colOff>
      <xdr:row>27</xdr:row>
      <xdr:rowOff>19050</xdr:rowOff>
    </xdr:from>
    <xdr:to>
      <xdr:col>8</xdr:col>
      <xdr:colOff>1562100</xdr:colOff>
      <xdr:row>43</xdr:row>
      <xdr:rowOff>228600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0B37CE-EECB-6F43-ACF1-EEB6436A6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52&amp;utm_language=JP&amp;utm_source=template-excel&amp;utm_medium=content&amp;utm_campaign=ic-Weekly+Agile+Sprint+Status+Report-excel-77852-jp&amp;lpa=ic+Weekly+Agile+Sprint+Status+Report+excel+77852+jp" TargetMode="Externa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bit.ly/3B36Db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bit.ly/3B36D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K157"/>
  <sheetViews>
    <sheetView showGridLines="0" tabSelected="1" topLeftCell="B1" workbookViewId="0">
      <pane ySplit="1" topLeftCell="A53" activePane="bottomLeft" state="frozen"/>
      <selection pane="bottomLeft" activeCell="B64" sqref="B64"/>
    </sheetView>
  </sheetViews>
  <sheetFormatPr defaultColWidth="11" defaultRowHeight="13.5"/>
  <cols>
    <col min="1" max="1" width="3.375" style="17" customWidth="1"/>
    <col min="2" max="2" width="26" style="17" customWidth="1"/>
    <col min="3" max="3" width="22.875" style="17" customWidth="1"/>
    <col min="4" max="9" width="20.875" style="17" customWidth="1"/>
    <col min="10" max="10" width="3.375" style="17" customWidth="1"/>
    <col min="11" max="11" width="17.25" style="17" customWidth="1"/>
    <col min="12" max="28" width="8.875" style="17" customWidth="1"/>
    <col min="29" max="29" width="10.875" style="17" customWidth="1"/>
    <col min="30" max="16384" width="11" style="17"/>
  </cols>
  <sheetData>
    <row r="1" spans="1:115" s="11" customFormat="1" ht="42" customHeight="1">
      <c r="A1" s="5"/>
      <c r="B1" s="6" t="s">
        <v>9</v>
      </c>
      <c r="C1" s="7"/>
      <c r="D1" s="8"/>
      <c r="E1" s="5"/>
      <c r="F1" s="5"/>
      <c r="G1" s="5"/>
      <c r="H1" s="7"/>
      <c r="I1" s="7"/>
      <c r="J1" s="9"/>
      <c r="K1" s="5"/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7"/>
      <c r="AL1" s="7"/>
      <c r="AM1" s="1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7"/>
      <c r="CI1" s="7"/>
      <c r="CJ1" s="10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K1" s="12"/>
    </row>
    <row r="2" spans="1:115" ht="20.100000000000001" customHeight="1">
      <c r="A2" s="13"/>
      <c r="B2" s="89" t="s">
        <v>10</v>
      </c>
      <c r="C2" s="89"/>
      <c r="D2" s="14" t="s">
        <v>11</v>
      </c>
      <c r="E2" s="14" t="s">
        <v>12</v>
      </c>
      <c r="F2" s="15"/>
      <c r="G2" s="15"/>
      <c r="H2" s="14" t="s">
        <v>13</v>
      </c>
      <c r="I2" s="16" t="s">
        <v>14</v>
      </c>
      <c r="K2" s="13"/>
      <c r="L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115" ht="60" customHeight="1" thickBot="1">
      <c r="A3" s="13"/>
      <c r="B3" s="90" t="s">
        <v>15</v>
      </c>
      <c r="C3" s="91"/>
      <c r="D3" s="18">
        <v>47032</v>
      </c>
      <c r="E3" s="19">
        <v>47110</v>
      </c>
      <c r="F3" s="20"/>
      <c r="G3" s="20"/>
      <c r="H3" s="21" t="s">
        <v>16</v>
      </c>
      <c r="I3" s="22">
        <f>'EX - 週次アジャイル スプリント レポート'!D56</f>
        <v>0.16666666666666666</v>
      </c>
      <c r="K3" s="13"/>
      <c r="L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115" ht="14.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115" ht="20.100000000000001" customHeight="1">
      <c r="A5" s="13"/>
      <c r="D5" s="93" t="s">
        <v>17</v>
      </c>
      <c r="E5" s="93"/>
      <c r="F5" s="93"/>
      <c r="G5" s="86" t="s">
        <v>18</v>
      </c>
      <c r="H5" s="86" t="s">
        <v>19</v>
      </c>
      <c r="I5" s="24"/>
      <c r="J5" s="25"/>
      <c r="K5" s="13"/>
      <c r="L5" s="2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115" ht="20.100000000000001" customHeight="1">
      <c r="A6" s="13"/>
      <c r="D6" s="23" t="s">
        <v>20</v>
      </c>
      <c r="E6" s="23" t="s">
        <v>21</v>
      </c>
      <c r="F6" s="23" t="s">
        <v>22</v>
      </c>
      <c r="G6" s="87"/>
      <c r="H6" s="87"/>
      <c r="I6" s="24"/>
      <c r="J6" s="25"/>
      <c r="K6" s="13"/>
      <c r="L6" s="2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115" ht="57.95" customHeight="1" thickBot="1">
      <c r="A7" s="13"/>
      <c r="D7" s="27">
        <f>SUM(D11:D25)</f>
        <v>54</v>
      </c>
      <c r="E7" s="28">
        <f>SUMIF(I10:I25,"*"&amp;'ドロップダウン キー'!D6&amp;"*",D10:D25)</f>
        <v>4</v>
      </c>
      <c r="F7" s="29">
        <f>SUM(D7-E7)</f>
        <v>50</v>
      </c>
      <c r="G7" s="30">
        <f>(E7/4)</f>
        <v>1</v>
      </c>
      <c r="H7" s="31">
        <f>ROUNDUP((DATEDIF(D3, E3, "d") / 7), 0)</f>
        <v>12</v>
      </c>
      <c r="I7" s="24"/>
      <c r="J7" s="25"/>
      <c r="K7" s="13"/>
      <c r="L7" s="2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115" ht="14.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115" ht="24.95" customHeight="1">
      <c r="A9" s="13"/>
      <c r="B9" s="32" t="s">
        <v>23</v>
      </c>
      <c r="C9" s="32" t="s">
        <v>24</v>
      </c>
      <c r="D9" s="33" t="s">
        <v>25</v>
      </c>
      <c r="E9" s="33" t="s">
        <v>26</v>
      </c>
      <c r="F9" s="33" t="s">
        <v>27</v>
      </c>
      <c r="G9" s="33" t="s">
        <v>28</v>
      </c>
      <c r="H9" s="33" t="s">
        <v>29</v>
      </c>
      <c r="I9" s="32" t="s">
        <v>30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115" ht="24.95" customHeight="1">
      <c r="A10" s="13"/>
      <c r="B10" s="34" t="s">
        <v>31</v>
      </c>
      <c r="C10" s="34" t="s">
        <v>4</v>
      </c>
      <c r="D10" s="34"/>
      <c r="E10" s="35">
        <v>47032</v>
      </c>
      <c r="F10" s="35">
        <v>47051</v>
      </c>
      <c r="G10" s="36">
        <f>IF(F10=0,"",F10-E10+1)</f>
        <v>20</v>
      </c>
      <c r="H10" s="36"/>
      <c r="I10" s="3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115" ht="24.95" customHeight="1">
      <c r="A11" s="13"/>
      <c r="B11" s="37" t="s">
        <v>32</v>
      </c>
      <c r="C11" s="37" t="s">
        <v>0</v>
      </c>
      <c r="D11" s="38">
        <v>3</v>
      </c>
      <c r="E11" s="39">
        <v>47032</v>
      </c>
      <c r="F11" s="39">
        <v>47033</v>
      </c>
      <c r="G11" s="40">
        <f t="shared" ref="G11:G25" si="0">IF(F11=0,"",F11-E11+1)</f>
        <v>2</v>
      </c>
      <c r="H11" s="41"/>
      <c r="I11" s="42" t="s">
        <v>33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115" ht="24.95" customHeight="1">
      <c r="A12" s="13"/>
      <c r="B12" s="37" t="s">
        <v>34</v>
      </c>
      <c r="C12" s="37" t="s">
        <v>1</v>
      </c>
      <c r="D12" s="38">
        <v>6</v>
      </c>
      <c r="E12" s="39">
        <v>47033</v>
      </c>
      <c r="F12" s="39">
        <v>47036</v>
      </c>
      <c r="G12" s="40">
        <f t="shared" si="0"/>
        <v>4</v>
      </c>
      <c r="H12" s="41"/>
      <c r="I12" s="42" t="s">
        <v>35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115" ht="24.95" customHeight="1">
      <c r="A13" s="13"/>
      <c r="B13" s="37" t="s">
        <v>36</v>
      </c>
      <c r="C13" s="37" t="s">
        <v>2</v>
      </c>
      <c r="D13" s="38">
        <v>9</v>
      </c>
      <c r="E13" s="39">
        <v>47036</v>
      </c>
      <c r="F13" s="39">
        <v>47051</v>
      </c>
      <c r="G13" s="40">
        <f t="shared" si="0"/>
        <v>16</v>
      </c>
      <c r="H13" s="41"/>
      <c r="I13" s="42" t="s">
        <v>35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115" ht="24.95" customHeight="1">
      <c r="A14" s="13"/>
      <c r="B14" s="34" t="s">
        <v>37</v>
      </c>
      <c r="C14" s="34" t="s">
        <v>5</v>
      </c>
      <c r="D14" s="34"/>
      <c r="E14" s="35">
        <v>47051</v>
      </c>
      <c r="F14" s="35">
        <v>47077</v>
      </c>
      <c r="G14" s="36">
        <f t="shared" si="0"/>
        <v>27</v>
      </c>
      <c r="H14" s="36"/>
      <c r="I14" s="3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115" ht="24.95" customHeight="1">
      <c r="A15" s="13"/>
      <c r="B15" s="37" t="s">
        <v>32</v>
      </c>
      <c r="C15" s="37" t="s">
        <v>2</v>
      </c>
      <c r="D15" s="38">
        <v>1</v>
      </c>
      <c r="E15" s="39">
        <v>47051</v>
      </c>
      <c r="F15" s="39">
        <v>47059</v>
      </c>
      <c r="G15" s="40">
        <f t="shared" si="0"/>
        <v>9</v>
      </c>
      <c r="H15" s="41"/>
      <c r="I15" s="42" t="s">
        <v>33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115" ht="24.95" customHeight="1">
      <c r="A16" s="13"/>
      <c r="B16" s="37" t="s">
        <v>34</v>
      </c>
      <c r="C16" s="37" t="s">
        <v>2</v>
      </c>
      <c r="D16" s="38">
        <v>5</v>
      </c>
      <c r="E16" s="39">
        <v>47059</v>
      </c>
      <c r="F16" s="39">
        <v>47072</v>
      </c>
      <c r="G16" s="40">
        <f t="shared" si="0"/>
        <v>14</v>
      </c>
      <c r="H16" s="41"/>
      <c r="I16" s="42" t="s">
        <v>35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24.95" customHeight="1">
      <c r="A17" s="13"/>
      <c r="B17" s="37" t="s">
        <v>36</v>
      </c>
      <c r="C17" s="37" t="s">
        <v>0</v>
      </c>
      <c r="D17" s="38">
        <v>6</v>
      </c>
      <c r="E17" s="39">
        <v>47072</v>
      </c>
      <c r="F17" s="39">
        <v>47077</v>
      </c>
      <c r="G17" s="40">
        <f t="shared" si="0"/>
        <v>6</v>
      </c>
      <c r="H17" s="41"/>
      <c r="I17" s="42" t="s">
        <v>38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24.95" customHeight="1">
      <c r="A18" s="13"/>
      <c r="B18" s="34" t="s">
        <v>39</v>
      </c>
      <c r="C18" s="34"/>
      <c r="D18" s="34"/>
      <c r="E18" s="35">
        <v>47077</v>
      </c>
      <c r="F18" s="35">
        <v>47097</v>
      </c>
      <c r="G18" s="36">
        <f t="shared" si="0"/>
        <v>21</v>
      </c>
      <c r="H18" s="36"/>
      <c r="I18" s="3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24.95" customHeight="1">
      <c r="A19" s="13"/>
      <c r="B19" s="37" t="s">
        <v>32</v>
      </c>
      <c r="C19" s="37" t="s">
        <v>1</v>
      </c>
      <c r="D19" s="38">
        <v>3</v>
      </c>
      <c r="E19" s="39">
        <v>47077</v>
      </c>
      <c r="F19" s="39">
        <v>47087</v>
      </c>
      <c r="G19" s="40">
        <f t="shared" si="0"/>
        <v>11</v>
      </c>
      <c r="H19" s="41"/>
      <c r="I19" s="42" t="s">
        <v>40</v>
      </c>
      <c r="K19" s="13"/>
      <c r="L19" s="13"/>
      <c r="M19" s="13"/>
      <c r="N19" s="13"/>
      <c r="O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24.95" customHeight="1">
      <c r="A20" s="13"/>
      <c r="B20" s="37" t="s">
        <v>34</v>
      </c>
      <c r="C20" s="37" t="s">
        <v>3</v>
      </c>
      <c r="D20" s="38">
        <v>1</v>
      </c>
      <c r="E20" s="39">
        <v>47087</v>
      </c>
      <c r="F20" s="39">
        <v>47093</v>
      </c>
      <c r="G20" s="40">
        <f t="shared" si="0"/>
        <v>7</v>
      </c>
      <c r="H20" s="41"/>
      <c r="I20" s="42" t="s">
        <v>35</v>
      </c>
      <c r="K20" s="13"/>
      <c r="L20" s="13"/>
      <c r="M20" s="13"/>
      <c r="N20" s="13"/>
      <c r="O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24.95" customHeight="1">
      <c r="A21" s="13"/>
      <c r="B21" s="37" t="s">
        <v>36</v>
      </c>
      <c r="C21" s="37" t="s">
        <v>2</v>
      </c>
      <c r="D21" s="38">
        <v>4</v>
      </c>
      <c r="E21" s="39">
        <v>47093</v>
      </c>
      <c r="F21" s="39">
        <v>47097</v>
      </c>
      <c r="G21" s="40">
        <f t="shared" si="0"/>
        <v>5</v>
      </c>
      <c r="H21" s="41"/>
      <c r="I21" s="42" t="s">
        <v>40</v>
      </c>
      <c r="K21" s="13"/>
      <c r="L21" s="13"/>
      <c r="M21" s="13"/>
      <c r="N21" s="13"/>
      <c r="O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24.95" customHeight="1">
      <c r="A22" s="13"/>
      <c r="B22" s="34" t="s">
        <v>41</v>
      </c>
      <c r="C22" s="34"/>
      <c r="D22" s="34"/>
      <c r="E22" s="35">
        <v>47097</v>
      </c>
      <c r="F22" s="35">
        <v>47110</v>
      </c>
      <c r="G22" s="36">
        <f t="shared" si="0"/>
        <v>14</v>
      </c>
      <c r="H22" s="36"/>
      <c r="I22" s="34"/>
      <c r="K22" s="13"/>
      <c r="L22" s="13"/>
      <c r="M22" s="13"/>
      <c r="N22" s="13"/>
      <c r="O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24.95" customHeight="1">
      <c r="A23" s="13"/>
      <c r="B23" s="37" t="s">
        <v>32</v>
      </c>
      <c r="C23" s="37" t="s">
        <v>0</v>
      </c>
      <c r="D23" s="38">
        <v>6</v>
      </c>
      <c r="E23" s="39">
        <v>47097</v>
      </c>
      <c r="F23" s="39">
        <v>47099</v>
      </c>
      <c r="G23" s="40">
        <f t="shared" si="0"/>
        <v>3</v>
      </c>
      <c r="H23" s="41"/>
      <c r="I23" s="42" t="s">
        <v>38</v>
      </c>
      <c r="K23" s="13"/>
      <c r="L23" s="13"/>
      <c r="M23" s="13"/>
      <c r="N23" s="13"/>
      <c r="O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24.95" customHeight="1">
      <c r="A24" s="13"/>
      <c r="B24" s="37" t="s">
        <v>34</v>
      </c>
      <c r="C24" s="37" t="s">
        <v>3</v>
      </c>
      <c r="D24" s="38">
        <v>2</v>
      </c>
      <c r="E24" s="39">
        <v>47099</v>
      </c>
      <c r="F24" s="39">
        <v>47102</v>
      </c>
      <c r="G24" s="40">
        <f t="shared" si="0"/>
        <v>4</v>
      </c>
      <c r="H24" s="41"/>
      <c r="I24" s="42" t="s">
        <v>40</v>
      </c>
      <c r="K24" s="13"/>
      <c r="L24" s="13"/>
      <c r="M24" s="13"/>
      <c r="N24" s="13"/>
      <c r="O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24.95" customHeight="1">
      <c r="A25" s="13"/>
      <c r="B25" s="37" t="s">
        <v>36</v>
      </c>
      <c r="C25" s="37" t="s">
        <v>4</v>
      </c>
      <c r="D25" s="38">
        <v>8</v>
      </c>
      <c r="E25" s="39">
        <v>47102</v>
      </c>
      <c r="F25" s="39">
        <v>47110</v>
      </c>
      <c r="G25" s="40">
        <f t="shared" si="0"/>
        <v>9</v>
      </c>
      <c r="H25" s="41"/>
      <c r="I25" s="42" t="s">
        <v>40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29.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29.1" customHeight="1">
      <c r="A27" s="13"/>
      <c r="B27" s="43" t="s">
        <v>42</v>
      </c>
      <c r="C27" s="13"/>
      <c r="D27" s="43"/>
      <c r="E27" s="44" t="s">
        <v>43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38.1" customHeight="1">
      <c r="A28" s="13"/>
      <c r="B28" s="13"/>
      <c r="C28" s="13"/>
      <c r="D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8.1" customHeight="1">
      <c r="A29" s="13"/>
      <c r="B29" s="13"/>
      <c r="C29" s="13"/>
      <c r="D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38.1" customHeight="1">
      <c r="A30" s="13"/>
      <c r="B30" s="13"/>
      <c r="C30" s="13"/>
      <c r="D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38.1" customHeight="1">
      <c r="A31" s="13"/>
      <c r="B31" s="13"/>
      <c r="C31" s="13"/>
      <c r="D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38.1" customHeight="1">
      <c r="A32" s="13"/>
      <c r="B32" s="13"/>
      <c r="C32" s="13"/>
      <c r="D32" s="13"/>
      <c r="K32" s="13"/>
      <c r="L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28.5">
      <c r="B34" s="43" t="s">
        <v>44</v>
      </c>
      <c r="C34" s="13"/>
      <c r="D34" s="13"/>
      <c r="E34" s="43"/>
      <c r="F34" s="43"/>
      <c r="G34" s="43"/>
    </row>
    <row r="35" spans="1:32" ht="21" customHeight="1">
      <c r="B35" s="45" t="s">
        <v>45</v>
      </c>
      <c r="C35" s="46"/>
      <c r="D35" s="47"/>
    </row>
    <row r="36" spans="1:32" ht="20.100000000000001" customHeight="1">
      <c r="B36" s="48"/>
      <c r="C36" s="49"/>
      <c r="D36" s="50"/>
    </row>
    <row r="37" spans="1:32" ht="20.100000000000001" customHeight="1">
      <c r="B37" s="48"/>
      <c r="C37" s="49"/>
      <c r="D37" s="50"/>
    </row>
    <row r="38" spans="1:32" ht="20.100000000000001" customHeight="1">
      <c r="B38" s="48"/>
      <c r="C38" s="49"/>
      <c r="D38" s="50"/>
    </row>
    <row r="39" spans="1:32" ht="20.100000000000001" customHeight="1">
      <c r="B39" s="48"/>
      <c r="C39" s="49"/>
      <c r="D39" s="50"/>
    </row>
    <row r="40" spans="1:32" ht="21" customHeight="1">
      <c r="B40" s="45" t="s">
        <v>46</v>
      </c>
      <c r="C40" s="46"/>
      <c r="D40" s="47"/>
    </row>
    <row r="41" spans="1:32" ht="20.100000000000001" customHeight="1">
      <c r="B41" s="48"/>
      <c r="C41" s="49"/>
      <c r="D41" s="50"/>
    </row>
    <row r="42" spans="1:32" ht="20.100000000000001" customHeight="1">
      <c r="B42" s="48"/>
      <c r="C42" s="49"/>
      <c r="D42" s="50"/>
    </row>
    <row r="43" spans="1:32" ht="20.100000000000001" customHeight="1">
      <c r="B43" s="48"/>
      <c r="C43" s="49"/>
      <c r="D43" s="50"/>
    </row>
    <row r="44" spans="1:32" ht="20.100000000000001" customHeight="1">
      <c r="B44" s="48"/>
      <c r="C44" s="49"/>
      <c r="D44" s="50"/>
    </row>
    <row r="45" spans="1:32" ht="20.100000000000001" customHeight="1"/>
    <row r="46" spans="1:32" ht="28.5">
      <c r="B46" s="43" t="s">
        <v>47</v>
      </c>
      <c r="C46" s="13"/>
      <c r="D46" s="13"/>
      <c r="E46" s="43"/>
    </row>
    <row r="47" spans="1:32" ht="21" customHeight="1" thickBot="1">
      <c r="B47" s="51" t="s">
        <v>48</v>
      </c>
      <c r="C47" s="52" t="s">
        <v>49</v>
      </c>
      <c r="D47" s="52" t="s">
        <v>50</v>
      </c>
      <c r="E47" s="51" t="s">
        <v>51</v>
      </c>
    </row>
    <row r="48" spans="1:32" ht="35.1" customHeight="1">
      <c r="B48" s="53" t="s">
        <v>52</v>
      </c>
      <c r="C48" s="54" t="s">
        <v>6</v>
      </c>
      <c r="D48" s="54" t="s">
        <v>6</v>
      </c>
      <c r="E48" s="53" t="s">
        <v>53</v>
      </c>
    </row>
    <row r="49" spans="2:29" ht="35.1" customHeight="1">
      <c r="B49" s="55" t="s">
        <v>54</v>
      </c>
      <c r="C49" s="56" t="s">
        <v>6</v>
      </c>
      <c r="D49" s="56" t="s">
        <v>6</v>
      </c>
      <c r="E49" s="53" t="s">
        <v>55</v>
      </c>
    </row>
    <row r="50" spans="2:29" ht="35.1" customHeight="1">
      <c r="B50" s="55" t="s">
        <v>56</v>
      </c>
      <c r="C50" s="56" t="s">
        <v>7</v>
      </c>
      <c r="D50" s="56" t="s">
        <v>7</v>
      </c>
      <c r="E50" s="53" t="s">
        <v>57</v>
      </c>
    </row>
    <row r="51" spans="2:29" ht="35.1" customHeight="1">
      <c r="B51" s="55" t="s">
        <v>58</v>
      </c>
      <c r="C51" s="56" t="s">
        <v>8</v>
      </c>
      <c r="D51" s="56" t="s">
        <v>8</v>
      </c>
      <c r="E51" s="53" t="s">
        <v>59</v>
      </c>
    </row>
    <row r="52" spans="2:29" ht="20.100000000000001" customHeight="1"/>
    <row r="53" spans="2:29" ht="20.100000000000001" customHeight="1">
      <c r="B53" s="57" t="s">
        <v>60</v>
      </c>
      <c r="C53" s="92" t="s">
        <v>61</v>
      </c>
      <c r="D53" s="92"/>
      <c r="L53" s="57" t="s">
        <v>62</v>
      </c>
    </row>
    <row r="54" spans="2:29" ht="20.100000000000001" customHeight="1">
      <c r="B54" s="55" t="s">
        <v>40</v>
      </c>
      <c r="C54" s="58">
        <v>4</v>
      </c>
      <c r="D54" s="59">
        <f>C54/$C$58</f>
        <v>0.33333333333333331</v>
      </c>
      <c r="L54" s="60" t="s">
        <v>63</v>
      </c>
      <c r="M54" s="60" t="s">
        <v>64</v>
      </c>
      <c r="N54" s="60" t="s">
        <v>65</v>
      </c>
      <c r="O54" s="60" t="s">
        <v>66</v>
      </c>
      <c r="P54" s="60" t="s">
        <v>67</v>
      </c>
      <c r="Q54" s="60" t="s">
        <v>68</v>
      </c>
      <c r="R54" s="60" t="s">
        <v>69</v>
      </c>
      <c r="S54" s="60" t="s">
        <v>70</v>
      </c>
      <c r="T54" s="60" t="s">
        <v>71</v>
      </c>
      <c r="U54" s="60" t="s">
        <v>72</v>
      </c>
      <c r="V54" s="60" t="s">
        <v>73</v>
      </c>
      <c r="W54" s="60" t="s">
        <v>74</v>
      </c>
      <c r="X54" s="60" t="s">
        <v>75</v>
      </c>
      <c r="Y54" s="60" t="s">
        <v>76</v>
      </c>
      <c r="Z54" s="60" t="s">
        <v>77</v>
      </c>
      <c r="AA54" s="60" t="s">
        <v>78</v>
      </c>
      <c r="AB54" s="60" t="s">
        <v>79</v>
      </c>
      <c r="AC54" s="60" t="s">
        <v>80</v>
      </c>
    </row>
    <row r="55" spans="2:29" ht="20.100000000000001" customHeight="1">
      <c r="B55" s="61" t="s">
        <v>81</v>
      </c>
      <c r="C55" s="58">
        <v>4</v>
      </c>
      <c r="D55" s="59">
        <f>C55/$C$58</f>
        <v>0.33333333333333331</v>
      </c>
      <c r="K55" s="62" t="s">
        <v>82</v>
      </c>
      <c r="L55" s="40">
        <f>SUMIFS(D10:D25,E10:E25,"&gt;="&amp;D3,E10:E25,"&lt;="&amp;D3+7)</f>
        <v>18</v>
      </c>
      <c r="M55" s="40">
        <f>SUMIFS(D10:D25,E10:E25,"&gt;="&amp;D3+8,E10:E25,"&lt;="&amp;D3+14)</f>
        <v>0</v>
      </c>
      <c r="N55" s="40">
        <f>SUMIFS(D10:D25,E10:E25,"&gt;="&amp;D3+15,E10:E25,"&lt;="&amp;D3+21)</f>
        <v>1</v>
      </c>
      <c r="O55" s="40">
        <f>SUMIFS(D10:D25,E10:E25,"&gt;="&amp;D3+22,E10:E25,"&lt;="&amp;D3+28)</f>
        <v>5</v>
      </c>
      <c r="P55" s="40">
        <f>SUMIFS(D10:D25,E10:E25,"&gt;="&amp;D3+29,E10:E25,"&lt;="&amp;D3+35)</f>
        <v>0</v>
      </c>
      <c r="Q55" s="40">
        <f>SUMIFS(D10:D25,E10:E25,"&gt;="&amp;D3+36,E10:E25,"&lt;="&amp;D3+42)</f>
        <v>6</v>
      </c>
      <c r="R55" s="40">
        <f>SUMIFS(D10:D25,E10:E25,"&gt;="&amp;D3+43,E10:E25,"&lt;="&amp;D3+49)</f>
        <v>3</v>
      </c>
      <c r="S55" s="40">
        <f>SUMIFS(D10:D25,E10:E25,"&gt;="&amp;D3+50,E10:E25,"&lt;="&amp;D3+56)</f>
        <v>1</v>
      </c>
      <c r="T55" s="40">
        <f>SUMIFS(D10:D25,E10:E25,"&gt;="&amp;D3+57,E10:E25,"&lt;="&amp;D3+63)</f>
        <v>4</v>
      </c>
      <c r="U55" s="40">
        <f>SUMIFS(D10:D25,E10:E25,"&gt;="&amp;D3+64,E10:E25,"&lt;="&amp;D3+70)</f>
        <v>16</v>
      </c>
      <c r="V55" s="40">
        <f>SUMIFS(D10:D25,E10:E25,"&gt;="&amp;D3+71,E10:E25,"&lt;="&amp;D3+77)</f>
        <v>0</v>
      </c>
      <c r="W55" s="40">
        <f>SUMIFS(D10:D25,E10:E25,"&gt;="&amp;D3+78,E10:E25,"&lt;="&amp;D3+84)</f>
        <v>0</v>
      </c>
      <c r="X55" s="40">
        <f>SUMIFS(D10:D25,E10:E25,"&gt;="&amp;D3+85,E10:E25,"&lt;="&amp;D3+91)</f>
        <v>0</v>
      </c>
      <c r="Y55" s="40">
        <f>SUMIFS(D10:D25,E10:E25,"&gt;="&amp;D3+92,E10:E25,"&lt;="&amp;D3+98)</f>
        <v>0</v>
      </c>
      <c r="Z55" s="40">
        <f>SUMIFS(D10:D25,E10:E25,"&gt;="&amp;D3+99,E10:E25,"&lt;="&amp;D3+105)</f>
        <v>0</v>
      </c>
      <c r="AA55" s="40">
        <f>SUMIFS(D10:D25,E10:E25,"&gt;="&amp;D3+106,E10:E25,"&lt;="&amp;D3+112)</f>
        <v>0</v>
      </c>
      <c r="AB55" s="40">
        <f>SUMIFS(D10:D25,E10:E25,"&gt;="&amp;D3+113,E10:E25,"&lt;="&amp;D3+119)</f>
        <v>0</v>
      </c>
      <c r="AC55" s="60">
        <f>SUM(L55:AB55)</f>
        <v>54</v>
      </c>
    </row>
    <row r="56" spans="2:29" ht="20.100000000000001" customHeight="1">
      <c r="B56" s="61" t="s">
        <v>83</v>
      </c>
      <c r="C56" s="58">
        <v>2</v>
      </c>
      <c r="D56" s="59">
        <f>C56/$C$58</f>
        <v>0.16666666666666666</v>
      </c>
      <c r="K56" s="62" t="s">
        <v>33</v>
      </c>
      <c r="L56" s="63">
        <f>SUMIFS(D10:D25,E10:E25,"&gt;="&amp;D3,E10:E25,"&lt;="&amp;D3+7,I10:I25,"COMPLETE")</f>
        <v>0</v>
      </c>
      <c r="M56" s="63">
        <f>SUMIFS(D10:D25,E10:E25,"&gt;="&amp;D3+8,E10:E25,"&lt;="&amp;D3+14,I10:I25,"COMPLETE")</f>
        <v>0</v>
      </c>
      <c r="N56" s="63">
        <f>SUMIFS(D10:D25,E10:E25,"&gt;="&amp;D3+15,E10:E25,"&lt;="&amp;D3+21,I10:I25,"COMPLETE")</f>
        <v>0</v>
      </c>
      <c r="O56" s="63">
        <f>SUMIFS(D10:D25,E10:E25,"&gt;="&amp;D3+22,E10:E25,"&lt;="&amp;D3+28,I10:I25,"COMPLETE")</f>
        <v>0</v>
      </c>
      <c r="P56" s="63">
        <f>SUMIFS(D10:D25,E10:E25,"&gt;="&amp;D3+29,E10:E25,"&lt;="&amp;D3+35,I10:I25,"COMPLETE")</f>
        <v>0</v>
      </c>
      <c r="Q56" s="63">
        <f>SUMIFS(D10:D25,E10:E25,"&gt;="&amp;D3+36,E10:E25,"&lt;="&amp;D3+42,I10:I25,"COMPLETE")</f>
        <v>0</v>
      </c>
      <c r="R56" s="63">
        <f>SUMIFS(D10:D25,E10:E25,"&gt;="&amp;D3+43,E10:E25,"&lt;="&amp;D3+49,I10:I25,"COMPLETE")</f>
        <v>0</v>
      </c>
      <c r="S56" s="63">
        <f>SUMIFS(D10:D25,E10:E25,"&gt;="&amp;D3+50,E10:E25,"&lt;="&amp;D3+56,I10:I25,"COMPLETE")</f>
        <v>0</v>
      </c>
      <c r="T56" s="63">
        <f>SUMIFS(D10:D25,E10:E25,"&gt;="&amp;D3+57,E10:E25,"&lt;="&amp;D3+63,I10:I25,"COMPLETE")</f>
        <v>0</v>
      </c>
      <c r="U56" s="63">
        <f>SUMIFS(D10:D25,E10:E25,"&gt;="&amp;D3+64,E10:E25,"&lt;="&amp;D3+70,I10:I25,"COMPLETE")</f>
        <v>0</v>
      </c>
      <c r="V56" s="63">
        <f>SUMIFS(D10:D25,E10:E25,"&gt;="&amp;D3+71,E10:E25,"&lt;="&amp;D3+77,I10:I25,"COMPLETE")</f>
        <v>0</v>
      </c>
      <c r="W56" s="63">
        <f>SUMIFS(D10:D25,E10:E25,"&gt;="&amp;D3+78,E10:E25,"&lt;="&amp;D3+84,I10:I25,"COMPLETE")</f>
        <v>0</v>
      </c>
      <c r="X56" s="63">
        <f>SUMIFS(D10:D25,E10:E25,"&gt;="&amp;D3+85,E10:E25,"&lt;="&amp;D3+91,I10:I25,"COMPLETE")</f>
        <v>0</v>
      </c>
      <c r="Y56" s="63">
        <f>SUMIFS(D10:D25,E10:E25,"&gt;="&amp;D3+92,E10:E25,"&lt;="&amp;D3+98,I10:I25,"COMPLETE")</f>
        <v>0</v>
      </c>
      <c r="Z56" s="63">
        <f>SUMIFS(D10:D25,E10:E25,"&gt;="&amp;D3+99,E10:E25,"&lt;="&amp;D3+105,I10:I25,"COMPLETE")</f>
        <v>0</v>
      </c>
      <c r="AA56" s="63">
        <f>SUMIFS(D10:D25,E10:E25,"&gt;="&amp;D3+106,E10:E25,"&lt;="&amp;D3+112,I10:I25,"COMPLETE")</f>
        <v>0</v>
      </c>
      <c r="AB56" s="63">
        <f>SUMIFS(D10:D25,E10:E25,"&gt;="&amp;D3+113,E10:E25,"&lt;="&amp;D3+119,I10:I25,"COMPLETE")</f>
        <v>0</v>
      </c>
      <c r="AC56" s="60">
        <f>SUM(L56:AB56)</f>
        <v>0</v>
      </c>
    </row>
    <row r="57" spans="2:29" ht="20.100000000000001" customHeight="1">
      <c r="B57" s="64" t="s">
        <v>38</v>
      </c>
      <c r="C57" s="58">
        <v>2</v>
      </c>
      <c r="D57" s="59">
        <f>C57/$C$58</f>
        <v>0.16666666666666666</v>
      </c>
      <c r="K57" s="62" t="s">
        <v>38</v>
      </c>
      <c r="L57" s="65">
        <f>SUMIFS(D10:D25,E10:E25,"&gt;="&amp;D3,E10:E25,"&lt;="&amp;D3+7,I10:I25,"DELAYED")</f>
        <v>0</v>
      </c>
      <c r="M57" s="65">
        <f>SUMIFS(D10:D25,E10:E25,"&gt;="&amp;D3+8,E10:E25,"&lt;="&amp;D3+14,I10:I25,"DELAYED")</f>
        <v>0</v>
      </c>
      <c r="N57" s="65">
        <f>SUMIFS(D10:D25,E10:E25,"&gt;="&amp;D3+15,E10:E25,"&lt;="&amp;D3+21,I10:I25,"DELAYED")</f>
        <v>0</v>
      </c>
      <c r="O57" s="65">
        <f>SUMIFS(D10:D25,E10:E25,"&gt;="&amp;D3+22,E10:E25,"&lt;="&amp;D3+28,I10:I25,"DELAYED")</f>
        <v>0</v>
      </c>
      <c r="P57" s="65">
        <f>SUMIFS(D10:D25,E10:E25,"&gt;="&amp;D3+29,E10:E25,"&lt;="&amp;D3+35,I10:I25,"DELAYED")</f>
        <v>0</v>
      </c>
      <c r="Q57" s="65">
        <f>SUMIFS(D10:D25,E10:E25,"&gt;="&amp;D3+36,E10:E25,"&lt;="&amp;D3+42,I10:I25,"DELAYED")</f>
        <v>0</v>
      </c>
      <c r="R57" s="65">
        <f>SUMIFS(D10:D25,E10:E25,"&gt;="&amp;D3+43,E10:E25,"&lt;="&amp;D3+49,I10:I25,"DELAYED")</f>
        <v>0</v>
      </c>
      <c r="S57" s="65">
        <f>SUMIFS(D10:D25,E10:E25,"&gt;="&amp;D3+50,E10:E25,"&lt;="&amp;D3+56,I10:I25,"DELAYED")</f>
        <v>0</v>
      </c>
      <c r="T57" s="65">
        <f>SUMIFS(D10:D25,E10:E25,"&gt;="&amp;D3+57,E10:E25,"&lt;="&amp;D3+63,I10:I25,"DELAYED")</f>
        <v>0</v>
      </c>
      <c r="U57" s="65">
        <f>SUMIFS(D10:D25,E10:E25,"&gt;="&amp;D3+64,E10:E25,"&lt;="&amp;D3+70,I10:I25,"DELAYED")</f>
        <v>0</v>
      </c>
      <c r="V57" s="65">
        <f>SUMIFS(D10:D25,E10:E25,"&gt;="&amp;D3+71,E10:E25,"&lt;="&amp;D3+77,I10:I25,"DELAYED")</f>
        <v>0</v>
      </c>
      <c r="W57" s="65">
        <f>SUMIFS(D10:D25,E10:E25,"&gt;="&amp;D3+78,E10:E25,"&lt;="&amp;D3+84,I10:I25,"DELAYED")</f>
        <v>0</v>
      </c>
      <c r="X57" s="65">
        <f>SUMIFS(D10:D25,E10:E25,"&gt;="&amp;D3+85,E10:E25,"&lt;="&amp;D3+91,I10:I25,"DELAYED")</f>
        <v>0</v>
      </c>
      <c r="Y57" s="65">
        <f>SUMIFS(D10:D25,E10:E25,"&gt;="&amp;D3+92,E10:E25,"&lt;="&amp;D3+98,I10:I25,"DELAYED")</f>
        <v>0</v>
      </c>
      <c r="Z57" s="65">
        <f>SUMIFS(D10:D25,E10:E25,"&gt;="&amp;D3+99,E10:E25,"&lt;="&amp;D3+105,I10:I25,"DELAYED")</f>
        <v>0</v>
      </c>
      <c r="AA57" s="65">
        <f>SUMIFS(D10:D25,E10:E25,"&gt;="&amp;D3+106,E10:E25,"&lt;="&amp;D3+112,I10:I25,"DELAYED")</f>
        <v>0</v>
      </c>
      <c r="AB57" s="65">
        <f>SUMIFS(D10:D25,E10:E25,"&gt;="&amp;D3+113,E10:E25,"&lt;="&amp;D3+119,I10:I25,"DELAYED")</f>
        <v>0</v>
      </c>
      <c r="AC57" s="60">
        <f t="shared" ref="AC57:AC60" si="1">SUM(L57:AB57)</f>
        <v>0</v>
      </c>
    </row>
    <row r="58" spans="2:29" ht="20.100000000000001" customHeight="1">
      <c r="B58" s="66" t="s">
        <v>80</v>
      </c>
      <c r="C58" s="67">
        <f>SUM(C54:C57)</f>
        <v>12</v>
      </c>
      <c r="D58" s="68">
        <f>SUM(D54:D57)</f>
        <v>0.99999999999999989</v>
      </c>
      <c r="K58" s="62" t="s">
        <v>40</v>
      </c>
      <c r="L58" s="69">
        <f>SUMIFS(D10:D25,E10:E25,"&gt;="&amp;D3,E10:E25,"&lt;="&amp;D3+7,I10:I25,"NOT STARTED")</f>
        <v>0</v>
      </c>
      <c r="M58" s="69">
        <f>SUMIFS(D10:D25,E10:E25,"&gt;="&amp;D3+8,E10:E25,"&lt;="&amp;D3+14,I10:I25,"NOT STARTED")</f>
        <v>0</v>
      </c>
      <c r="N58" s="69">
        <f>SUMIFS(D10:D25,E10:E25,"&gt;="&amp;D3+15,E10:E25,"&lt;="&amp;D3+21,I10:I25,"NOT STARTED")</f>
        <v>0</v>
      </c>
      <c r="O58" s="69">
        <f>SUMIFS(D10:D25,E10:E25,"&gt;="&amp;D3+22,E10:E25,"&lt;="&amp;D3+28,I10:I25,"NOT STARTED")</f>
        <v>0</v>
      </c>
      <c r="P58" s="69">
        <f>SUMIFS(D10:D25,E10:E25,"&gt;="&amp;D3+29,E10:E25,"&lt;="&amp;D3+35,I10:I25,"NOT STARTED")</f>
        <v>0</v>
      </c>
      <c r="Q58" s="69">
        <f>SUMIFS(D10:D25,E10:E25,"&gt;="&amp;D3+36,E10:E25,"&lt;="&amp;D3+42,I10:I25,"NOT STARTED")</f>
        <v>0</v>
      </c>
      <c r="R58" s="69">
        <f>SUMIFS(D10:D25,E10:E25,"&gt;="&amp;D3+43,E10:E25,"&lt;="&amp;D3+49,I10:I25,"NOT STARTED")</f>
        <v>0</v>
      </c>
      <c r="S58" s="69">
        <f>SUMIFS(D10:D25,E10:E25,"&gt;="&amp;D3+50,E10:E25,"&lt;="&amp;D3+56,I10:I25,"NOT STARTED")</f>
        <v>0</v>
      </c>
      <c r="T58" s="69">
        <f>SUMIFS(D10:D25,E10:E25,"&gt;="&amp;D3+57,E10:E25,"&lt;="&amp;D3+63,I10:I25,"NOT STARTED")</f>
        <v>0</v>
      </c>
      <c r="U58" s="69">
        <f>SUMIFS(D10:D25,E10:E25,"&gt;="&amp;D3+64,E10:E25,"&lt;="&amp;D3+70,I10:I25,"NOT STARTED")</f>
        <v>0</v>
      </c>
      <c r="V58" s="69">
        <f>SUMIFS(D10:D25,E10:E25,"&gt;="&amp;D3+71,E10:E25,"&lt;="&amp;D3+77,I10:I25,"NOT STARTED")</f>
        <v>0</v>
      </c>
      <c r="W58" s="69">
        <f>SUMIFS(D10:D25,E10:E25,"&gt;="&amp;D3+78,E10:E25,"&lt;="&amp;D3+84,I10:I25,"NOT STARTED")</f>
        <v>0</v>
      </c>
      <c r="X58" s="69">
        <f>SUMIFS(D10:D25,E10:E25,"&gt;="&amp;D3+85,E10:E25,"&lt;="&amp;D3+91,I10:I25,"NOT STARTED")</f>
        <v>0</v>
      </c>
      <c r="Y58" s="69">
        <f>SUMIFS(D10:D25,E10:E25,"&gt;="&amp;D3+92,E10:E25,"&lt;="&amp;D3+98,I10:I25,"NOT STARTED")</f>
        <v>0</v>
      </c>
      <c r="Z58" s="69">
        <f>SUMIFS(D10:D25,E10:E25,"&gt;="&amp;D3+99,E10:E25,"&lt;="&amp;D3+105,I10:I25,"NOT STARTED")</f>
        <v>0</v>
      </c>
      <c r="AA58" s="69">
        <f>SUMIFS(D10:D25,E10:E25,"&gt;="&amp;D3+106,E10:E25,"&lt;="&amp;D3+112,I10:I25,"NOT STARTED")</f>
        <v>0</v>
      </c>
      <c r="AB58" s="69">
        <f>SUMIFS(D10:D25,E10:E25,"&gt;="&amp;D3+113,E10:E25,"&lt;="&amp;D3+119,I10:I25,"NOT STARTED")</f>
        <v>0</v>
      </c>
      <c r="AC58" s="60">
        <f t="shared" si="1"/>
        <v>0</v>
      </c>
    </row>
    <row r="59" spans="2:29" ht="20.100000000000001" customHeight="1">
      <c r="K59" s="62" t="s">
        <v>35</v>
      </c>
      <c r="L59" s="70">
        <f>SUMIFS(D10:D25,E10:E25,"&gt;="&amp;D3,E10:E25,"&lt;="&amp;D3+7,I10:I25,"ON TRACK")</f>
        <v>0</v>
      </c>
      <c r="M59" s="70">
        <f>SUMIFS(D10:D25,E10:E25,"&gt;="&amp;D3+8,E10:E25,"&lt;="&amp;D3+14,I10:I25,"ON TRACK")</f>
        <v>0</v>
      </c>
      <c r="N59" s="70">
        <f>SUMIFS(D10:D25,E10:E25,"&gt;="&amp;D3+15,E10:E25,"&lt;="&amp;D3+21,I10:I25,"ON TRACK")</f>
        <v>0</v>
      </c>
      <c r="O59" s="70">
        <f>SUMIFS(D10:D25,E10:E25,"&gt;="&amp;D3+22,E10:E25,"&lt;="&amp;D3+28,I10:I25,"ON TRACK")</f>
        <v>0</v>
      </c>
      <c r="P59" s="70">
        <f>SUMIFS(D10:D25,E10:E25,"&gt;="&amp;D3+29,E10:E25,"&lt;="&amp;D3+35,I10:I25,"ON TRACK")</f>
        <v>0</v>
      </c>
      <c r="Q59" s="70">
        <f>SUMIFS(D10:D25,E10:E25,"&gt;="&amp;D3+36,E10:E25,"&lt;="&amp;D3+42,I10:I25,"ON TRACK")</f>
        <v>0</v>
      </c>
      <c r="R59" s="70">
        <f>SUMIFS(D10:D25,E10:E25,"&gt;="&amp;D3+43,E10:E25,"&lt;="&amp;D3+49,I10:I25,"ON TRACK")</f>
        <v>0</v>
      </c>
      <c r="S59" s="70">
        <f>SUMIFS(D10:D25,E10:E25,"&gt;="&amp;D3+50,E10:E25,"&lt;="&amp;D3+56,I10:I25,"ON TRACK")</f>
        <v>0</v>
      </c>
      <c r="T59" s="70">
        <f>SUMIFS(D10:D25,E10:E25,"&gt;="&amp;D3+57,E10:E25,"&lt;="&amp;D3+63,I10:I25,"ON TRACK")</f>
        <v>0</v>
      </c>
      <c r="U59" s="70">
        <f>SUMIFS(D10:D25,E10:E25,"&gt;="&amp;D3+64,E10:E25,"&lt;="&amp;D3+70,I10:I25,"ON TRACK")</f>
        <v>0</v>
      </c>
      <c r="V59" s="70">
        <f>SUMIFS(D10:D25,E10:E25,"&gt;="&amp;D3+71,E10:E25,"&lt;="&amp;D3+77,I10:I25,"ON TRACK")</f>
        <v>0</v>
      </c>
      <c r="W59" s="70">
        <f>SUMIFS(D10:D25,E10:E25,"&gt;="&amp;D3+78,E10:E25,"&lt;="&amp;D3+84,I10:I25,"ON TRACK")</f>
        <v>0</v>
      </c>
      <c r="X59" s="70">
        <f>SUMIFS(D10:D25,E10:E25,"&gt;="&amp;D3+85,E10:E25,"&lt;="&amp;D3+91,I10:I25,"ON TRACK")</f>
        <v>0</v>
      </c>
      <c r="Y59" s="70">
        <f>SUMIFS(D10:D25,E10:E25,"&gt;="&amp;D3+92,E10:E25,"&lt;="&amp;D3+98,I10:I25,"ON TRACK")</f>
        <v>0</v>
      </c>
      <c r="Z59" s="70">
        <f>SUMIFS(D10:D25,E10:E25,"&gt;="&amp;D3+99,E10:E25,"&lt;="&amp;D3+105,I10:I25,"ON TRACK")</f>
        <v>0</v>
      </c>
      <c r="AA59" s="70">
        <f>SUMIFS(D10:D25,E10:E25,"&gt;="&amp;D3+106,E10:E25,"&lt;="&amp;D3+112,I10:I25,"ON TRACK")</f>
        <v>0</v>
      </c>
      <c r="AB59" s="70">
        <f>SUMIFS(D10:D25,E10:E25,"&gt;="&amp;D3+113,E10:E25,"&lt;="&amp;D3+119,I10:I25,"ON TRACK")</f>
        <v>0</v>
      </c>
      <c r="AC59" s="60">
        <f t="shared" si="1"/>
        <v>0</v>
      </c>
    </row>
    <row r="60" spans="2:29" ht="20.100000000000001" customHeight="1">
      <c r="B60" s="88" t="s">
        <v>96</v>
      </c>
      <c r="C60" s="94"/>
      <c r="D60" s="94"/>
      <c r="E60" s="94"/>
      <c r="F60" s="94"/>
      <c r="G60" s="94"/>
      <c r="H60" s="94"/>
      <c r="I60" s="94"/>
      <c r="K60" s="62" t="s">
        <v>84</v>
      </c>
      <c r="L60" s="71">
        <f>SUM(L57:L59)</f>
        <v>0</v>
      </c>
      <c r="M60" s="71">
        <f t="shared" ref="M60:AB60" si="2">SUM(M57:M59)</f>
        <v>0</v>
      </c>
      <c r="N60" s="71">
        <f t="shared" si="2"/>
        <v>0</v>
      </c>
      <c r="O60" s="71">
        <f t="shared" si="2"/>
        <v>0</v>
      </c>
      <c r="P60" s="71">
        <f t="shared" si="2"/>
        <v>0</v>
      </c>
      <c r="Q60" s="71">
        <f t="shared" si="2"/>
        <v>0</v>
      </c>
      <c r="R60" s="71">
        <f t="shared" si="2"/>
        <v>0</v>
      </c>
      <c r="S60" s="71">
        <f t="shared" si="2"/>
        <v>0</v>
      </c>
      <c r="T60" s="71">
        <f t="shared" si="2"/>
        <v>0</v>
      </c>
      <c r="U60" s="71">
        <f t="shared" si="2"/>
        <v>0</v>
      </c>
      <c r="V60" s="71">
        <f t="shared" si="2"/>
        <v>0</v>
      </c>
      <c r="W60" s="71">
        <f t="shared" si="2"/>
        <v>0</v>
      </c>
      <c r="X60" s="71">
        <f t="shared" si="2"/>
        <v>0</v>
      </c>
      <c r="Y60" s="71">
        <f t="shared" si="2"/>
        <v>0</v>
      </c>
      <c r="Z60" s="71">
        <f t="shared" si="2"/>
        <v>0</v>
      </c>
      <c r="AA60" s="71">
        <f t="shared" si="2"/>
        <v>0</v>
      </c>
      <c r="AB60" s="71">
        <f t="shared" si="2"/>
        <v>0</v>
      </c>
      <c r="AC60" s="60">
        <f t="shared" si="1"/>
        <v>0</v>
      </c>
    </row>
    <row r="61" spans="2:29" ht="20.100000000000001" customHeight="1">
      <c r="B61" s="94"/>
      <c r="C61" s="94"/>
      <c r="D61" s="94"/>
      <c r="E61" s="94"/>
      <c r="F61" s="94"/>
      <c r="G61" s="94"/>
      <c r="H61" s="94"/>
      <c r="I61" s="94"/>
      <c r="K61" s="4" t="s">
        <v>87</v>
      </c>
      <c r="L61" s="72">
        <f>AC55</f>
        <v>54</v>
      </c>
      <c r="M61" s="72">
        <f>($L$61-$L$61/$H$7)</f>
        <v>49.5</v>
      </c>
      <c r="N61" s="72">
        <f>IF(M61-$M$62&gt;0,M61-$M$62,"0")</f>
        <v>45</v>
      </c>
      <c r="O61" s="72">
        <f t="shared" ref="O61:AB61" si="3">IF(N61-$M$62&gt;0,N61-$M$62,"0")</f>
        <v>40.5</v>
      </c>
      <c r="P61" s="72">
        <f t="shared" si="3"/>
        <v>36</v>
      </c>
      <c r="Q61" s="72">
        <f t="shared" si="3"/>
        <v>31.5</v>
      </c>
      <c r="R61" s="72">
        <f t="shared" si="3"/>
        <v>27</v>
      </c>
      <c r="S61" s="72">
        <f t="shared" si="3"/>
        <v>22.5</v>
      </c>
      <c r="T61" s="72">
        <f t="shared" si="3"/>
        <v>18</v>
      </c>
      <c r="U61" s="72">
        <f t="shared" si="3"/>
        <v>13.5</v>
      </c>
      <c r="V61" s="72">
        <f t="shared" si="3"/>
        <v>9</v>
      </c>
      <c r="W61" s="72">
        <f t="shared" si="3"/>
        <v>4.5</v>
      </c>
      <c r="X61" s="72" t="str">
        <f t="shared" si="3"/>
        <v>0</v>
      </c>
      <c r="Y61" s="72" t="str">
        <f t="shared" si="3"/>
        <v>0</v>
      </c>
      <c r="Z61" s="72" t="str">
        <f t="shared" si="3"/>
        <v>0</v>
      </c>
      <c r="AA61" s="72" t="str">
        <f t="shared" si="3"/>
        <v>0</v>
      </c>
      <c r="AB61" s="72" t="str">
        <f t="shared" si="3"/>
        <v>0</v>
      </c>
    </row>
    <row r="62" spans="2:29" ht="20.100000000000001" customHeight="1">
      <c r="B62" s="94"/>
      <c r="C62" s="94"/>
      <c r="D62" s="94"/>
      <c r="E62" s="94"/>
      <c r="F62" s="94"/>
      <c r="G62" s="94"/>
      <c r="H62" s="94"/>
      <c r="I62" s="94"/>
      <c r="L62" s="73"/>
      <c r="M62" s="74">
        <f>L61-M61</f>
        <v>4.5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2:29" ht="20.100000000000001" customHeight="1"/>
    <row r="64" spans="2:29" s="11" customFormat="1" ht="50.1" customHeight="1">
      <c r="B64" s="17"/>
      <c r="C64" s="17"/>
      <c r="D64" s="17"/>
    </row>
    <row r="65" s="17" customFormat="1" ht="20.100000000000001" customHeight="1"/>
    <row r="67" s="17" customFormat="1" ht="20.100000000000001" customHeight="1"/>
    <row r="68" s="17" customFormat="1" ht="20.100000000000001" customHeight="1"/>
    <row r="151" spans="2:10" ht="28.5">
      <c r="B151" s="3" t="s">
        <v>86</v>
      </c>
      <c r="C151" s="3"/>
      <c r="D151" s="3"/>
    </row>
    <row r="157" spans="2:10" s="11" customFormat="1" ht="50.1" customHeight="1">
      <c r="B157" s="17"/>
      <c r="C157" s="17"/>
      <c r="D157" s="17"/>
      <c r="E157" s="3"/>
      <c r="F157" s="3"/>
      <c r="G157" s="3"/>
      <c r="H157" s="3"/>
      <c r="I157" s="3"/>
      <c r="J157" s="3"/>
    </row>
  </sheetData>
  <mergeCells count="7">
    <mergeCell ref="H5:H6"/>
    <mergeCell ref="B60:I62"/>
    <mergeCell ref="B2:C2"/>
    <mergeCell ref="B3:C3"/>
    <mergeCell ref="C53:D53"/>
    <mergeCell ref="D5:F5"/>
    <mergeCell ref="G5:G6"/>
  </mergeCells>
  <phoneticPr fontId="8" type="noConversion"/>
  <conditionalFormatting sqref="D11:D13 D15:D17 D19:D21 D23:D25">
    <cfRule type="containsText" dxfId="20" priority="13" operator="containsText" text="低">
      <formula>NOT(ISERROR(SEARCH("低",D11)))</formula>
    </cfRule>
    <cfRule type="containsText" dxfId="19" priority="14" operator="containsText" text="中">
      <formula>NOT(ISERROR(SEARCH("中",D11)))</formula>
    </cfRule>
    <cfRule type="containsText" dxfId="18" priority="15" operator="containsText" text="高">
      <formula>NOT(ISERROR(SEARCH("高",D11)))</formula>
    </cfRule>
  </conditionalFormatting>
  <conditionalFormatting sqref="I11:I13 I15:I17 I19:I21 I23:I25 B54:B57">
    <cfRule type="containsText" dxfId="17" priority="9" operator="containsText" text="未開始">
      <formula>NOT(ISERROR(SEARCH("未開始",B11)))</formula>
    </cfRule>
    <cfRule type="containsText" dxfId="16" priority="10" operator="containsText" text="遅延">
      <formula>NOT(ISERROR(SEARCH("遅延",B11)))</formula>
    </cfRule>
    <cfRule type="containsText" dxfId="15" priority="11" operator="containsText" text="完了">
      <formula>NOT(ISERROR(SEARCH("完了",B11)))</formula>
    </cfRule>
    <cfRule type="containsText" dxfId="14" priority="12" operator="containsText" text="順調">
      <formula>NOT(ISERROR(SEARCH("順調",B11)))</formula>
    </cfRule>
  </conditionalFormatting>
  <hyperlinks>
    <hyperlink ref="B157:J157" r:id="rId1" display="CLICK HERE TO CREATE IN SMARTSHEET" xr:uid="{5E1803CB-7EC2-6C4C-B806-4CECB2E2EE21}"/>
    <hyperlink ref="B60:D60" r:id="rId2" display="CLICK HERE TO CREATE IN SMARTSHEET" xr:uid="{828D6EB2-3695-B641-BCF2-58CA36AF1EE3}"/>
    <hyperlink ref="B60:I62" r:id="rId3" display="ここをクリックして Smartsheet で作成" xr:uid="{6B7ED30D-4675-A042-A23C-11D9A7227A12}"/>
  </hyperlinks>
  <pageMargins left="0.4" right="0.4" top="0.4" bottom="0.4" header="0" footer="0"/>
  <pageSetup scale="70" fitToHeight="0" orientation="landscape" horizontalDpi="4294967292" verticalDpi="4294967292"/>
  <rowBreaks count="1" manualBreakCount="1">
    <brk id="26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CC7DA1-FC76-404F-8CD5-4BFE989BD1B7}">
          <x14:formula1>
            <xm:f>'ドロップダウン キー'!$D$4:$D$7</xm:f>
          </x14:formula1>
          <xm:sqref>I10:I25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ECD8-9869-1542-8DC4-236CC1713E32}">
  <sheetPr>
    <tabColor theme="3" tint="0.79998168889431442"/>
    <pageSetUpPr fitToPage="1"/>
  </sheetPr>
  <dimension ref="A1:DK157"/>
  <sheetViews>
    <sheetView showGridLines="0" topLeftCell="A51" workbookViewId="0">
      <selection activeCell="C62" sqref="C62"/>
    </sheetView>
  </sheetViews>
  <sheetFormatPr defaultColWidth="11" defaultRowHeight="13.5"/>
  <cols>
    <col min="1" max="1" width="3.375" style="17" customWidth="1"/>
    <col min="2" max="2" width="26" style="17" customWidth="1"/>
    <col min="3" max="3" width="22.875" style="17" customWidth="1"/>
    <col min="4" max="9" width="20.875" style="17" customWidth="1"/>
    <col min="10" max="10" width="3.375" style="17" customWidth="1"/>
    <col min="11" max="11" width="17.25" style="17" customWidth="1"/>
    <col min="12" max="28" width="8.875" style="17" customWidth="1"/>
    <col min="29" max="29" width="10.875" style="17" customWidth="1"/>
    <col min="30" max="16384" width="11" style="17"/>
  </cols>
  <sheetData>
    <row r="1" spans="1:115" s="11" customFormat="1" ht="42" customHeight="1">
      <c r="A1" s="5"/>
      <c r="B1" s="6" t="s">
        <v>9</v>
      </c>
      <c r="C1" s="7"/>
      <c r="D1" s="8"/>
      <c r="E1" s="5"/>
      <c r="F1" s="5"/>
      <c r="G1" s="5"/>
      <c r="H1" s="7"/>
      <c r="I1" s="7"/>
      <c r="J1" s="9"/>
      <c r="K1" s="5"/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7"/>
      <c r="AL1" s="7"/>
      <c r="AM1" s="1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7"/>
      <c r="CI1" s="7"/>
      <c r="CJ1" s="10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K1" s="12"/>
    </row>
    <row r="2" spans="1:115" ht="20.100000000000001" customHeight="1">
      <c r="A2" s="13"/>
      <c r="B2" s="89" t="s">
        <v>10</v>
      </c>
      <c r="C2" s="89"/>
      <c r="D2" s="14" t="s">
        <v>11</v>
      </c>
      <c r="E2" s="14" t="s">
        <v>12</v>
      </c>
      <c r="F2" s="15"/>
      <c r="G2" s="15"/>
      <c r="H2" s="14" t="s">
        <v>13</v>
      </c>
      <c r="I2" s="16" t="s">
        <v>14</v>
      </c>
      <c r="K2" s="13"/>
      <c r="L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115" ht="60" customHeight="1" thickBot="1">
      <c r="A3" s="13"/>
      <c r="B3" s="90" t="s">
        <v>15</v>
      </c>
      <c r="C3" s="91"/>
      <c r="D3" s="18">
        <v>47032</v>
      </c>
      <c r="E3" s="19">
        <v>47110</v>
      </c>
      <c r="F3" s="20"/>
      <c r="G3" s="20"/>
      <c r="H3" s="21" t="s">
        <v>16</v>
      </c>
      <c r="I3" s="22" t="e">
        <f>'空白 - 週次アジャイル スプリント レポート'!D56</f>
        <v>#DIV/0!</v>
      </c>
      <c r="K3" s="13"/>
      <c r="L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115" ht="14.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115" ht="20.100000000000001" customHeight="1">
      <c r="A5" s="13"/>
      <c r="D5" s="93" t="s">
        <v>17</v>
      </c>
      <c r="E5" s="93"/>
      <c r="F5" s="93"/>
      <c r="G5" s="86" t="s">
        <v>18</v>
      </c>
      <c r="H5" s="86" t="s">
        <v>19</v>
      </c>
      <c r="I5" s="24"/>
      <c r="J5" s="25"/>
      <c r="K5" s="13"/>
      <c r="L5" s="2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115" ht="20.100000000000001" customHeight="1">
      <c r="A6" s="13"/>
      <c r="D6" s="23" t="s">
        <v>20</v>
      </c>
      <c r="E6" s="23" t="s">
        <v>21</v>
      </c>
      <c r="F6" s="23" t="s">
        <v>22</v>
      </c>
      <c r="G6" s="87"/>
      <c r="H6" s="87"/>
      <c r="I6" s="24"/>
      <c r="J6" s="25"/>
      <c r="K6" s="13"/>
      <c r="L6" s="2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115" ht="57.95" customHeight="1" thickBot="1">
      <c r="A7" s="13"/>
      <c r="D7" s="27">
        <f>SUM(D11:D25)</f>
        <v>0</v>
      </c>
      <c r="E7" s="28">
        <f>SUMIF(I10:I25,"*"&amp;'ドロップダウン キー'!D6&amp;"*",D10:D25)</f>
        <v>0</v>
      </c>
      <c r="F7" s="29">
        <f>SUM(D7-E7)</f>
        <v>0</v>
      </c>
      <c r="G7" s="30">
        <f>(E7/4)</f>
        <v>0</v>
      </c>
      <c r="H7" s="31">
        <f>ROUNDUP((DATEDIF(D3, E3, "d") / 7), 0)</f>
        <v>12</v>
      </c>
      <c r="I7" s="24"/>
      <c r="J7" s="25"/>
      <c r="K7" s="13"/>
      <c r="L7" s="2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115" ht="14.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115" ht="24.95" customHeight="1">
      <c r="A9" s="13"/>
      <c r="B9" s="32" t="s">
        <v>23</v>
      </c>
      <c r="C9" s="32" t="s">
        <v>24</v>
      </c>
      <c r="D9" s="33" t="s">
        <v>25</v>
      </c>
      <c r="E9" s="33" t="s">
        <v>26</v>
      </c>
      <c r="F9" s="33" t="s">
        <v>27</v>
      </c>
      <c r="G9" s="33" t="s">
        <v>28</v>
      </c>
      <c r="H9" s="33" t="s">
        <v>29</v>
      </c>
      <c r="I9" s="32" t="s">
        <v>30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115" ht="24.95" customHeight="1">
      <c r="A10" s="13"/>
      <c r="B10" s="34"/>
      <c r="C10" s="34"/>
      <c r="D10" s="34"/>
      <c r="E10" s="35"/>
      <c r="F10" s="35"/>
      <c r="G10" s="36" t="str">
        <f>IF(F10=0,"",F10-E10+1)</f>
        <v/>
      </c>
      <c r="H10" s="36"/>
      <c r="I10" s="3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115" ht="24.95" customHeight="1">
      <c r="A11" s="13"/>
      <c r="B11" s="37"/>
      <c r="C11" s="37"/>
      <c r="D11" s="38"/>
      <c r="E11" s="39"/>
      <c r="F11" s="39"/>
      <c r="G11" s="40" t="str">
        <f t="shared" ref="G11:G25" si="0">IF(F11=0,"",F11-E11+1)</f>
        <v/>
      </c>
      <c r="H11" s="41"/>
      <c r="I11" s="4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115" ht="24.95" customHeight="1">
      <c r="A12" s="13"/>
      <c r="B12" s="37"/>
      <c r="C12" s="37"/>
      <c r="D12" s="38"/>
      <c r="E12" s="39"/>
      <c r="F12" s="39"/>
      <c r="G12" s="40" t="str">
        <f t="shared" si="0"/>
        <v/>
      </c>
      <c r="H12" s="41"/>
      <c r="I12" s="4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115" ht="24.95" customHeight="1">
      <c r="A13" s="13"/>
      <c r="B13" s="37"/>
      <c r="C13" s="37"/>
      <c r="D13" s="38"/>
      <c r="E13" s="39"/>
      <c r="F13" s="39"/>
      <c r="G13" s="40" t="str">
        <f t="shared" si="0"/>
        <v/>
      </c>
      <c r="H13" s="41"/>
      <c r="I13" s="4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115" ht="24.95" customHeight="1">
      <c r="A14" s="13"/>
      <c r="B14" s="34"/>
      <c r="C14" s="34"/>
      <c r="D14" s="34"/>
      <c r="E14" s="35"/>
      <c r="F14" s="35"/>
      <c r="G14" s="36" t="str">
        <f t="shared" si="0"/>
        <v/>
      </c>
      <c r="H14" s="36"/>
      <c r="I14" s="3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115" ht="24.95" customHeight="1">
      <c r="A15" s="13"/>
      <c r="B15" s="37"/>
      <c r="C15" s="37"/>
      <c r="D15" s="38"/>
      <c r="E15" s="39"/>
      <c r="F15" s="39"/>
      <c r="G15" s="40" t="str">
        <f t="shared" si="0"/>
        <v/>
      </c>
      <c r="H15" s="41"/>
      <c r="I15" s="4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115" ht="24.95" customHeight="1">
      <c r="A16" s="13"/>
      <c r="B16" s="37"/>
      <c r="C16" s="37"/>
      <c r="D16" s="38"/>
      <c r="E16" s="39"/>
      <c r="F16" s="39"/>
      <c r="G16" s="40" t="str">
        <f t="shared" si="0"/>
        <v/>
      </c>
      <c r="H16" s="41"/>
      <c r="I16" s="4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24.95" customHeight="1">
      <c r="A17" s="13"/>
      <c r="B17" s="37"/>
      <c r="C17" s="37"/>
      <c r="D17" s="38"/>
      <c r="E17" s="39"/>
      <c r="F17" s="39"/>
      <c r="G17" s="40" t="str">
        <f t="shared" si="0"/>
        <v/>
      </c>
      <c r="H17" s="41"/>
      <c r="I17" s="4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24.95" customHeight="1">
      <c r="A18" s="13"/>
      <c r="B18" s="34"/>
      <c r="C18" s="34"/>
      <c r="D18" s="34"/>
      <c r="E18" s="35"/>
      <c r="F18" s="35"/>
      <c r="G18" s="36" t="str">
        <f t="shared" si="0"/>
        <v/>
      </c>
      <c r="H18" s="36"/>
      <c r="I18" s="3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24.95" customHeight="1">
      <c r="A19" s="13"/>
      <c r="B19" s="37"/>
      <c r="C19" s="37"/>
      <c r="D19" s="38"/>
      <c r="E19" s="39"/>
      <c r="F19" s="39"/>
      <c r="G19" s="40" t="str">
        <f t="shared" si="0"/>
        <v/>
      </c>
      <c r="H19" s="41"/>
      <c r="I19" s="42"/>
      <c r="K19" s="13"/>
      <c r="L19" s="13"/>
      <c r="M19" s="13"/>
      <c r="N19" s="13"/>
      <c r="O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24.95" customHeight="1">
      <c r="A20" s="13"/>
      <c r="B20" s="37"/>
      <c r="C20" s="37"/>
      <c r="D20" s="38"/>
      <c r="E20" s="39"/>
      <c r="F20" s="39"/>
      <c r="G20" s="40" t="str">
        <f t="shared" si="0"/>
        <v/>
      </c>
      <c r="H20" s="41"/>
      <c r="I20" s="42"/>
      <c r="K20" s="13"/>
      <c r="L20" s="13"/>
      <c r="M20" s="13"/>
      <c r="N20" s="13"/>
      <c r="O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24.95" customHeight="1">
      <c r="A21" s="13"/>
      <c r="B21" s="37"/>
      <c r="C21" s="37"/>
      <c r="D21" s="38"/>
      <c r="E21" s="39"/>
      <c r="F21" s="39"/>
      <c r="G21" s="40" t="str">
        <f t="shared" si="0"/>
        <v/>
      </c>
      <c r="H21" s="41"/>
      <c r="I21" s="42"/>
      <c r="K21" s="13"/>
      <c r="L21" s="13"/>
      <c r="M21" s="13"/>
      <c r="N21" s="13"/>
      <c r="O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24.95" customHeight="1">
      <c r="A22" s="13"/>
      <c r="B22" s="34"/>
      <c r="C22" s="34"/>
      <c r="D22" s="34"/>
      <c r="E22" s="35"/>
      <c r="F22" s="35"/>
      <c r="G22" s="36" t="str">
        <f t="shared" si="0"/>
        <v/>
      </c>
      <c r="H22" s="36"/>
      <c r="I22" s="34"/>
      <c r="K22" s="13"/>
      <c r="L22" s="13"/>
      <c r="M22" s="13"/>
      <c r="N22" s="13"/>
      <c r="O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24.95" customHeight="1">
      <c r="A23" s="13"/>
      <c r="B23" s="37"/>
      <c r="C23" s="37"/>
      <c r="D23" s="38"/>
      <c r="E23" s="39"/>
      <c r="F23" s="39"/>
      <c r="G23" s="40" t="str">
        <f t="shared" si="0"/>
        <v/>
      </c>
      <c r="H23" s="41"/>
      <c r="I23" s="42"/>
      <c r="K23" s="13"/>
      <c r="L23" s="13"/>
      <c r="M23" s="13"/>
      <c r="N23" s="13"/>
      <c r="O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24.95" customHeight="1">
      <c r="A24" s="13"/>
      <c r="B24" s="37"/>
      <c r="C24" s="37"/>
      <c r="D24" s="38"/>
      <c r="E24" s="39"/>
      <c r="F24" s="39"/>
      <c r="G24" s="40" t="str">
        <f t="shared" si="0"/>
        <v/>
      </c>
      <c r="H24" s="41"/>
      <c r="I24" s="42"/>
      <c r="K24" s="13"/>
      <c r="L24" s="13"/>
      <c r="M24" s="13"/>
      <c r="N24" s="13"/>
      <c r="O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24.95" customHeight="1">
      <c r="A25" s="13"/>
      <c r="B25" s="37"/>
      <c r="C25" s="37"/>
      <c r="D25" s="38"/>
      <c r="E25" s="39"/>
      <c r="F25" s="39"/>
      <c r="G25" s="40" t="str">
        <f t="shared" si="0"/>
        <v/>
      </c>
      <c r="H25" s="41"/>
      <c r="I25" s="4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29.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29.1" customHeight="1">
      <c r="A27" s="13"/>
      <c r="B27" s="43" t="s">
        <v>42</v>
      </c>
      <c r="C27" s="13"/>
      <c r="D27" s="43"/>
      <c r="E27" s="44" t="s">
        <v>43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38.1" customHeight="1">
      <c r="A28" s="13"/>
      <c r="B28" s="13"/>
      <c r="C28" s="13"/>
      <c r="D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8.1" customHeight="1">
      <c r="A29" s="13"/>
      <c r="B29" s="13"/>
      <c r="C29" s="13"/>
      <c r="D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38.1" customHeight="1">
      <c r="A30" s="13"/>
      <c r="B30" s="13"/>
      <c r="C30" s="13"/>
      <c r="D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38.1" customHeight="1">
      <c r="A31" s="13"/>
      <c r="B31" s="13"/>
      <c r="C31" s="13"/>
      <c r="D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38.1" customHeight="1">
      <c r="A32" s="13"/>
      <c r="B32" s="13"/>
      <c r="C32" s="13"/>
      <c r="D32" s="13"/>
      <c r="K32" s="13"/>
      <c r="L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28.5">
      <c r="B34" s="43" t="s">
        <v>44</v>
      </c>
      <c r="C34" s="13"/>
      <c r="D34" s="13"/>
      <c r="E34" s="43"/>
      <c r="F34" s="43"/>
      <c r="G34" s="43"/>
    </row>
    <row r="35" spans="1:32" ht="21" customHeight="1">
      <c r="B35" s="45" t="s">
        <v>45</v>
      </c>
      <c r="C35" s="46"/>
      <c r="D35" s="47"/>
    </row>
    <row r="36" spans="1:32" ht="20.100000000000001" customHeight="1">
      <c r="B36" s="48"/>
      <c r="C36" s="49"/>
      <c r="D36" s="50"/>
    </row>
    <row r="37" spans="1:32" ht="20.100000000000001" customHeight="1">
      <c r="B37" s="48"/>
      <c r="C37" s="49"/>
      <c r="D37" s="50"/>
    </row>
    <row r="38" spans="1:32" ht="20.100000000000001" customHeight="1">
      <c r="B38" s="48"/>
      <c r="C38" s="49"/>
      <c r="D38" s="50"/>
    </row>
    <row r="39" spans="1:32" ht="20.100000000000001" customHeight="1">
      <c r="B39" s="48"/>
      <c r="C39" s="49"/>
      <c r="D39" s="50"/>
    </row>
    <row r="40" spans="1:32" ht="21" customHeight="1">
      <c r="B40" s="45" t="s">
        <v>46</v>
      </c>
      <c r="C40" s="46"/>
      <c r="D40" s="47"/>
    </row>
    <row r="41" spans="1:32" ht="20.100000000000001" customHeight="1">
      <c r="B41" s="48"/>
      <c r="C41" s="49"/>
      <c r="D41" s="50"/>
    </row>
    <row r="42" spans="1:32" ht="20.100000000000001" customHeight="1">
      <c r="B42" s="48"/>
      <c r="C42" s="49"/>
      <c r="D42" s="50"/>
    </row>
    <row r="43" spans="1:32" ht="20.100000000000001" customHeight="1">
      <c r="B43" s="48"/>
      <c r="C43" s="49"/>
      <c r="D43" s="50"/>
    </row>
    <row r="44" spans="1:32" ht="20.100000000000001" customHeight="1">
      <c r="B44" s="48"/>
      <c r="C44" s="49"/>
      <c r="D44" s="50"/>
    </row>
    <row r="45" spans="1:32" ht="20.100000000000001" customHeight="1"/>
    <row r="46" spans="1:32" ht="28.5">
      <c r="B46" s="43" t="s">
        <v>47</v>
      </c>
      <c r="C46" s="13"/>
      <c r="D46" s="13"/>
      <c r="E46" s="43"/>
    </row>
    <row r="47" spans="1:32" ht="21" customHeight="1" thickBot="1">
      <c r="B47" s="51" t="s">
        <v>48</v>
      </c>
      <c r="C47" s="52" t="s">
        <v>49</v>
      </c>
      <c r="D47" s="52" t="s">
        <v>50</v>
      </c>
      <c r="E47" s="51" t="s">
        <v>51</v>
      </c>
    </row>
    <row r="48" spans="1:32" ht="35.1" customHeight="1">
      <c r="B48" s="53" t="s">
        <v>52</v>
      </c>
      <c r="C48" s="54" t="s">
        <v>6</v>
      </c>
      <c r="D48" s="54" t="s">
        <v>6</v>
      </c>
      <c r="E48" s="53" t="s">
        <v>53</v>
      </c>
    </row>
    <row r="49" spans="2:29" ht="35.1" customHeight="1">
      <c r="B49" s="55" t="s">
        <v>54</v>
      </c>
      <c r="C49" s="56" t="s">
        <v>6</v>
      </c>
      <c r="D49" s="56" t="s">
        <v>6</v>
      </c>
      <c r="E49" s="53" t="s">
        <v>55</v>
      </c>
    </row>
    <row r="50" spans="2:29" ht="35.1" customHeight="1">
      <c r="B50" s="55" t="s">
        <v>56</v>
      </c>
      <c r="C50" s="56" t="s">
        <v>7</v>
      </c>
      <c r="D50" s="56" t="s">
        <v>7</v>
      </c>
      <c r="E50" s="53" t="s">
        <v>57</v>
      </c>
    </row>
    <row r="51" spans="2:29" ht="35.1" customHeight="1">
      <c r="B51" s="55" t="s">
        <v>58</v>
      </c>
      <c r="C51" s="56" t="s">
        <v>8</v>
      </c>
      <c r="D51" s="56" t="s">
        <v>8</v>
      </c>
      <c r="E51" s="53" t="s">
        <v>59</v>
      </c>
    </row>
    <row r="52" spans="2:29" ht="20.100000000000001" customHeight="1"/>
    <row r="53" spans="2:29" ht="20.100000000000001" customHeight="1">
      <c r="B53" s="57" t="s">
        <v>60</v>
      </c>
      <c r="C53" s="92" t="s">
        <v>61</v>
      </c>
      <c r="D53" s="92"/>
      <c r="L53" s="57" t="s">
        <v>62</v>
      </c>
    </row>
    <row r="54" spans="2:29" ht="20.100000000000001" customHeight="1">
      <c r="B54" s="55" t="s">
        <v>40</v>
      </c>
      <c r="C54" s="85">
        <f>COUNTIF(I10:I25, "未開始")</f>
        <v>0</v>
      </c>
      <c r="D54" s="59" t="e">
        <f>C54/$C$58</f>
        <v>#DIV/0!</v>
      </c>
      <c r="L54" s="60" t="s">
        <v>63</v>
      </c>
      <c r="M54" s="60" t="s">
        <v>64</v>
      </c>
      <c r="N54" s="60" t="s">
        <v>65</v>
      </c>
      <c r="O54" s="60" t="s">
        <v>66</v>
      </c>
      <c r="P54" s="60" t="s">
        <v>67</v>
      </c>
      <c r="Q54" s="60" t="s">
        <v>68</v>
      </c>
      <c r="R54" s="60" t="s">
        <v>69</v>
      </c>
      <c r="S54" s="60" t="s">
        <v>70</v>
      </c>
      <c r="T54" s="60" t="s">
        <v>71</v>
      </c>
      <c r="U54" s="60" t="s">
        <v>72</v>
      </c>
      <c r="V54" s="60" t="s">
        <v>73</v>
      </c>
      <c r="W54" s="60" t="s">
        <v>74</v>
      </c>
      <c r="X54" s="60" t="s">
        <v>75</v>
      </c>
      <c r="Y54" s="60" t="s">
        <v>76</v>
      </c>
      <c r="Z54" s="60" t="s">
        <v>77</v>
      </c>
      <c r="AA54" s="60" t="s">
        <v>78</v>
      </c>
      <c r="AB54" s="60" t="s">
        <v>79</v>
      </c>
      <c r="AC54" s="60" t="s">
        <v>80</v>
      </c>
    </row>
    <row r="55" spans="2:29" ht="20.100000000000001" customHeight="1">
      <c r="B55" s="61" t="s">
        <v>81</v>
      </c>
      <c r="C55" s="85">
        <f>COUNTIF(I10:I25, "順調")</f>
        <v>0</v>
      </c>
      <c r="D55" s="59" t="e">
        <f>C55/$C$58</f>
        <v>#DIV/0!</v>
      </c>
      <c r="K55" s="62" t="s">
        <v>82</v>
      </c>
      <c r="L55" s="40">
        <f>SUMIFS(D10:D25,E10:E25,"&gt;="&amp;D3,E10:E25,"&lt;="&amp;D3+7)</f>
        <v>0</v>
      </c>
      <c r="M55" s="40">
        <f>SUMIFS(D10:D25,E10:E25,"&gt;="&amp;D3+8,E10:E25,"&lt;="&amp;D3+14)</f>
        <v>0</v>
      </c>
      <c r="N55" s="40">
        <f>SUMIFS(D10:D25,E10:E25,"&gt;="&amp;D3+15,E10:E25,"&lt;="&amp;D3+21)</f>
        <v>0</v>
      </c>
      <c r="O55" s="40">
        <f>SUMIFS(D10:D25,E10:E25,"&gt;="&amp;D3+22,E10:E25,"&lt;="&amp;D3+28)</f>
        <v>0</v>
      </c>
      <c r="P55" s="40">
        <f>SUMIFS(D10:D25,E10:E25,"&gt;="&amp;D3+29,E10:E25,"&lt;="&amp;D3+35)</f>
        <v>0</v>
      </c>
      <c r="Q55" s="40">
        <f>SUMIFS(D10:D25,E10:E25,"&gt;="&amp;D3+36,E10:E25,"&lt;="&amp;D3+42)</f>
        <v>0</v>
      </c>
      <c r="R55" s="40">
        <f>SUMIFS(D10:D25,E10:E25,"&gt;="&amp;D3+43,E10:E25,"&lt;="&amp;D3+49)</f>
        <v>0</v>
      </c>
      <c r="S55" s="40">
        <f>SUMIFS(D10:D25,E10:E25,"&gt;="&amp;D3+50,E10:E25,"&lt;="&amp;D3+56)</f>
        <v>0</v>
      </c>
      <c r="T55" s="40">
        <f>SUMIFS(D10:D25,E10:E25,"&gt;="&amp;D3+57,E10:E25,"&lt;="&amp;D3+63)</f>
        <v>0</v>
      </c>
      <c r="U55" s="40">
        <f>SUMIFS(D10:D25,E10:E25,"&gt;="&amp;D3+64,E10:E25,"&lt;="&amp;D3+70)</f>
        <v>0</v>
      </c>
      <c r="V55" s="40">
        <f>SUMIFS(D10:D25,E10:E25,"&gt;="&amp;D3+71,E10:E25,"&lt;="&amp;D3+77)</f>
        <v>0</v>
      </c>
      <c r="W55" s="40">
        <f>SUMIFS(D10:D25,E10:E25,"&gt;="&amp;D3+78,E10:E25,"&lt;="&amp;D3+84)</f>
        <v>0</v>
      </c>
      <c r="X55" s="40">
        <f>SUMIFS(D10:D25,E10:E25,"&gt;="&amp;D3+85,E10:E25,"&lt;="&amp;D3+91)</f>
        <v>0</v>
      </c>
      <c r="Y55" s="40">
        <f>SUMIFS(D10:D25,E10:E25,"&gt;="&amp;D3+92,E10:E25,"&lt;="&amp;D3+98)</f>
        <v>0</v>
      </c>
      <c r="Z55" s="40">
        <f>SUMIFS(D10:D25,E10:E25,"&gt;="&amp;D3+99,E10:E25,"&lt;="&amp;D3+105)</f>
        <v>0</v>
      </c>
      <c r="AA55" s="40">
        <f>SUMIFS(D10:D25,E10:E25,"&gt;="&amp;D3+106,E10:E25,"&lt;="&amp;D3+112)</f>
        <v>0</v>
      </c>
      <c r="AB55" s="40">
        <f>SUMIFS(D10:D25,E10:E25,"&gt;="&amp;D3+113,E10:E25,"&lt;="&amp;D3+119)</f>
        <v>0</v>
      </c>
      <c r="AC55" s="60">
        <f>SUM(L55:AB55)</f>
        <v>0</v>
      </c>
    </row>
    <row r="56" spans="2:29" ht="20.100000000000001" customHeight="1">
      <c r="B56" s="61" t="s">
        <v>83</v>
      </c>
      <c r="C56" s="85">
        <f>COUNTIF(I10:I25, "完了")</f>
        <v>0</v>
      </c>
      <c r="D56" s="59" t="e">
        <f>C56/$C$58</f>
        <v>#DIV/0!</v>
      </c>
      <c r="K56" s="62" t="s">
        <v>33</v>
      </c>
      <c r="L56" s="63">
        <f>SUMIFS(D10:D25,E10:E25,"&gt;="&amp;D3,E10:E25,"&lt;="&amp;D3+7,I10:I25,"COMPLETE")</f>
        <v>0</v>
      </c>
      <c r="M56" s="63">
        <f>SUMIFS(D10:D25,E10:E25,"&gt;="&amp;D3+8,E10:E25,"&lt;="&amp;D3+14,I10:I25,"COMPLETE")</f>
        <v>0</v>
      </c>
      <c r="N56" s="63">
        <f>SUMIFS(D10:D25,E10:E25,"&gt;="&amp;D3+15,E10:E25,"&lt;="&amp;D3+21,I10:I25,"COMPLETE")</f>
        <v>0</v>
      </c>
      <c r="O56" s="63">
        <f>SUMIFS(D10:D25,E10:E25,"&gt;="&amp;D3+22,E10:E25,"&lt;="&amp;D3+28,I10:I25,"COMPLETE")</f>
        <v>0</v>
      </c>
      <c r="P56" s="63">
        <f>SUMIFS(D10:D25,E10:E25,"&gt;="&amp;D3+29,E10:E25,"&lt;="&amp;D3+35,I10:I25,"COMPLETE")</f>
        <v>0</v>
      </c>
      <c r="Q56" s="63">
        <f>SUMIFS(D10:D25,E10:E25,"&gt;="&amp;D3+36,E10:E25,"&lt;="&amp;D3+42,I10:I25,"COMPLETE")</f>
        <v>0</v>
      </c>
      <c r="R56" s="63">
        <f>SUMIFS(D10:D25,E10:E25,"&gt;="&amp;D3+43,E10:E25,"&lt;="&amp;D3+49,I10:I25,"COMPLETE")</f>
        <v>0</v>
      </c>
      <c r="S56" s="63">
        <f>SUMIFS(D10:D25,E10:E25,"&gt;="&amp;D3+50,E10:E25,"&lt;="&amp;D3+56,I10:I25,"COMPLETE")</f>
        <v>0</v>
      </c>
      <c r="T56" s="63">
        <f>SUMIFS(D10:D25,E10:E25,"&gt;="&amp;D3+57,E10:E25,"&lt;="&amp;D3+63,I10:I25,"COMPLETE")</f>
        <v>0</v>
      </c>
      <c r="U56" s="63">
        <f>SUMIFS(D10:D25,E10:E25,"&gt;="&amp;D3+64,E10:E25,"&lt;="&amp;D3+70,I10:I25,"COMPLETE")</f>
        <v>0</v>
      </c>
      <c r="V56" s="63">
        <f>SUMIFS(D10:D25,E10:E25,"&gt;="&amp;D3+71,E10:E25,"&lt;="&amp;D3+77,I10:I25,"COMPLETE")</f>
        <v>0</v>
      </c>
      <c r="W56" s="63">
        <f>SUMIFS(D10:D25,E10:E25,"&gt;="&amp;D3+78,E10:E25,"&lt;="&amp;D3+84,I10:I25,"COMPLETE")</f>
        <v>0</v>
      </c>
      <c r="X56" s="63">
        <f>SUMIFS(D10:D25,E10:E25,"&gt;="&amp;D3+85,E10:E25,"&lt;="&amp;D3+91,I10:I25,"COMPLETE")</f>
        <v>0</v>
      </c>
      <c r="Y56" s="63">
        <f>SUMIFS(D10:D25,E10:E25,"&gt;="&amp;D3+92,E10:E25,"&lt;="&amp;D3+98,I10:I25,"COMPLETE")</f>
        <v>0</v>
      </c>
      <c r="Z56" s="63">
        <f>SUMIFS(D10:D25,E10:E25,"&gt;="&amp;D3+99,E10:E25,"&lt;="&amp;D3+105,I10:I25,"COMPLETE")</f>
        <v>0</v>
      </c>
      <c r="AA56" s="63">
        <f>SUMIFS(D10:D25,E10:E25,"&gt;="&amp;D3+106,E10:E25,"&lt;="&amp;D3+112,I10:I25,"COMPLETE")</f>
        <v>0</v>
      </c>
      <c r="AB56" s="63">
        <f>SUMIFS(D10:D25,E10:E25,"&gt;="&amp;D3+113,E10:E25,"&lt;="&amp;D3+119,I10:I25,"COMPLETE")</f>
        <v>0</v>
      </c>
      <c r="AC56" s="60">
        <f>SUM(L56:AB56)</f>
        <v>0</v>
      </c>
    </row>
    <row r="57" spans="2:29" ht="20.100000000000001" customHeight="1">
      <c r="B57" s="64" t="s">
        <v>38</v>
      </c>
      <c r="C57" s="85">
        <f>COUNTIF(I10:I25, "遅延")</f>
        <v>0</v>
      </c>
      <c r="D57" s="59" t="e">
        <f>C57/$C$58</f>
        <v>#DIV/0!</v>
      </c>
      <c r="K57" s="62" t="s">
        <v>38</v>
      </c>
      <c r="L57" s="65">
        <f>SUMIFS(D10:D25,E10:E25,"&gt;="&amp;D3,E10:E25,"&lt;="&amp;D3+7,I10:I25,"DELAYED")</f>
        <v>0</v>
      </c>
      <c r="M57" s="65">
        <f>SUMIFS(D10:D25,E10:E25,"&gt;="&amp;D3+8,E10:E25,"&lt;="&amp;D3+14,I10:I25,"DELAYED")</f>
        <v>0</v>
      </c>
      <c r="N57" s="65">
        <f>SUMIFS(D10:D25,E10:E25,"&gt;="&amp;D3+15,E10:E25,"&lt;="&amp;D3+21,I10:I25,"DELAYED")</f>
        <v>0</v>
      </c>
      <c r="O57" s="65">
        <f>SUMIFS(D10:D25,E10:E25,"&gt;="&amp;D3+22,E10:E25,"&lt;="&amp;D3+28,I10:I25,"DELAYED")</f>
        <v>0</v>
      </c>
      <c r="P57" s="65">
        <f>SUMIFS(D10:D25,E10:E25,"&gt;="&amp;D3+29,E10:E25,"&lt;="&amp;D3+35,I10:I25,"DELAYED")</f>
        <v>0</v>
      </c>
      <c r="Q57" s="65">
        <f>SUMIFS(D10:D25,E10:E25,"&gt;="&amp;D3+36,E10:E25,"&lt;="&amp;D3+42,I10:I25,"DELAYED")</f>
        <v>0</v>
      </c>
      <c r="R57" s="65">
        <f>SUMIFS(D10:D25,E10:E25,"&gt;="&amp;D3+43,E10:E25,"&lt;="&amp;D3+49,I10:I25,"DELAYED")</f>
        <v>0</v>
      </c>
      <c r="S57" s="65">
        <f>SUMIFS(D10:D25,E10:E25,"&gt;="&amp;D3+50,E10:E25,"&lt;="&amp;D3+56,I10:I25,"DELAYED")</f>
        <v>0</v>
      </c>
      <c r="T57" s="65">
        <f>SUMIFS(D10:D25,E10:E25,"&gt;="&amp;D3+57,E10:E25,"&lt;="&amp;D3+63,I10:I25,"DELAYED")</f>
        <v>0</v>
      </c>
      <c r="U57" s="65">
        <f>SUMIFS(D10:D25,E10:E25,"&gt;="&amp;D3+64,E10:E25,"&lt;="&amp;D3+70,I10:I25,"DELAYED")</f>
        <v>0</v>
      </c>
      <c r="V57" s="65">
        <f>SUMIFS(D10:D25,E10:E25,"&gt;="&amp;D3+71,E10:E25,"&lt;="&amp;D3+77,I10:I25,"DELAYED")</f>
        <v>0</v>
      </c>
      <c r="W57" s="65">
        <f>SUMIFS(D10:D25,E10:E25,"&gt;="&amp;D3+78,E10:E25,"&lt;="&amp;D3+84,I10:I25,"DELAYED")</f>
        <v>0</v>
      </c>
      <c r="X57" s="65">
        <f>SUMIFS(D10:D25,E10:E25,"&gt;="&amp;D3+85,E10:E25,"&lt;="&amp;D3+91,I10:I25,"DELAYED")</f>
        <v>0</v>
      </c>
      <c r="Y57" s="65">
        <f>SUMIFS(D10:D25,E10:E25,"&gt;="&amp;D3+92,E10:E25,"&lt;="&amp;D3+98,I10:I25,"DELAYED")</f>
        <v>0</v>
      </c>
      <c r="Z57" s="65">
        <f>SUMIFS(D10:D25,E10:E25,"&gt;="&amp;D3+99,E10:E25,"&lt;="&amp;D3+105,I10:I25,"DELAYED")</f>
        <v>0</v>
      </c>
      <c r="AA57" s="65">
        <f>SUMIFS(D10:D25,E10:E25,"&gt;="&amp;D3+106,E10:E25,"&lt;="&amp;D3+112,I10:I25,"DELAYED")</f>
        <v>0</v>
      </c>
      <c r="AB57" s="65">
        <f>SUMIFS(D10:D25,E10:E25,"&gt;="&amp;D3+113,E10:E25,"&lt;="&amp;D3+119,I10:I25,"DELAYED")</f>
        <v>0</v>
      </c>
      <c r="AC57" s="60">
        <f t="shared" ref="AC57:AC60" si="1">SUM(L57:AB57)</f>
        <v>0</v>
      </c>
    </row>
    <row r="58" spans="2:29" ht="20.100000000000001" customHeight="1">
      <c r="B58" s="66" t="s">
        <v>80</v>
      </c>
      <c r="C58" s="67">
        <f>SUM(C54:C57)</f>
        <v>0</v>
      </c>
      <c r="D58" s="68" t="e">
        <f>SUM(D54:D57)</f>
        <v>#DIV/0!</v>
      </c>
      <c r="K58" s="62" t="s">
        <v>40</v>
      </c>
      <c r="L58" s="69">
        <f>SUMIFS(D10:D25,E10:E25,"&gt;="&amp;D3,E10:E25,"&lt;="&amp;D3+7,I10:I25,"NOT STARTED")</f>
        <v>0</v>
      </c>
      <c r="M58" s="69">
        <f>SUMIFS(D10:D25,E10:E25,"&gt;="&amp;D3+8,E10:E25,"&lt;="&amp;D3+14,I10:I25,"NOT STARTED")</f>
        <v>0</v>
      </c>
      <c r="N58" s="69">
        <f>SUMIFS(D10:D25,E10:E25,"&gt;="&amp;D3+15,E10:E25,"&lt;="&amp;D3+21,I10:I25,"NOT STARTED")</f>
        <v>0</v>
      </c>
      <c r="O58" s="69">
        <f>SUMIFS(D10:D25,E10:E25,"&gt;="&amp;D3+22,E10:E25,"&lt;="&amp;D3+28,I10:I25,"NOT STARTED")</f>
        <v>0</v>
      </c>
      <c r="P58" s="69">
        <f>SUMIFS(D10:D25,E10:E25,"&gt;="&amp;D3+29,E10:E25,"&lt;="&amp;D3+35,I10:I25,"NOT STARTED")</f>
        <v>0</v>
      </c>
      <c r="Q58" s="69">
        <f>SUMIFS(D10:D25,E10:E25,"&gt;="&amp;D3+36,E10:E25,"&lt;="&amp;D3+42,I10:I25,"NOT STARTED")</f>
        <v>0</v>
      </c>
      <c r="R58" s="69">
        <f>SUMIFS(D10:D25,E10:E25,"&gt;="&amp;D3+43,E10:E25,"&lt;="&amp;D3+49,I10:I25,"NOT STARTED")</f>
        <v>0</v>
      </c>
      <c r="S58" s="69">
        <f>SUMIFS(D10:D25,E10:E25,"&gt;="&amp;D3+50,E10:E25,"&lt;="&amp;D3+56,I10:I25,"NOT STARTED")</f>
        <v>0</v>
      </c>
      <c r="T58" s="69">
        <f>SUMIFS(D10:D25,E10:E25,"&gt;="&amp;D3+57,E10:E25,"&lt;="&amp;D3+63,I10:I25,"NOT STARTED")</f>
        <v>0</v>
      </c>
      <c r="U58" s="69">
        <f>SUMIFS(D10:D25,E10:E25,"&gt;="&amp;D3+64,E10:E25,"&lt;="&amp;D3+70,I10:I25,"NOT STARTED")</f>
        <v>0</v>
      </c>
      <c r="V58" s="69">
        <f>SUMIFS(D10:D25,E10:E25,"&gt;="&amp;D3+71,E10:E25,"&lt;="&amp;D3+77,I10:I25,"NOT STARTED")</f>
        <v>0</v>
      </c>
      <c r="W58" s="69">
        <f>SUMIFS(D10:D25,E10:E25,"&gt;="&amp;D3+78,E10:E25,"&lt;="&amp;D3+84,I10:I25,"NOT STARTED")</f>
        <v>0</v>
      </c>
      <c r="X58" s="69">
        <f>SUMIFS(D10:D25,E10:E25,"&gt;="&amp;D3+85,E10:E25,"&lt;="&amp;D3+91,I10:I25,"NOT STARTED")</f>
        <v>0</v>
      </c>
      <c r="Y58" s="69">
        <f>SUMIFS(D10:D25,E10:E25,"&gt;="&amp;D3+92,E10:E25,"&lt;="&amp;D3+98,I10:I25,"NOT STARTED")</f>
        <v>0</v>
      </c>
      <c r="Z58" s="69">
        <f>SUMIFS(D10:D25,E10:E25,"&gt;="&amp;D3+99,E10:E25,"&lt;="&amp;D3+105,I10:I25,"NOT STARTED")</f>
        <v>0</v>
      </c>
      <c r="AA58" s="69">
        <f>SUMIFS(D10:D25,E10:E25,"&gt;="&amp;D3+106,E10:E25,"&lt;="&amp;D3+112,I10:I25,"NOT STARTED")</f>
        <v>0</v>
      </c>
      <c r="AB58" s="69">
        <f>SUMIFS(D10:D25,E10:E25,"&gt;="&amp;D3+113,E10:E25,"&lt;="&amp;D3+119,I10:I25,"NOT STARTED")</f>
        <v>0</v>
      </c>
      <c r="AC58" s="60">
        <f t="shared" si="1"/>
        <v>0</v>
      </c>
    </row>
    <row r="59" spans="2:29" ht="20.100000000000001" customHeight="1">
      <c r="K59" s="62" t="s">
        <v>35</v>
      </c>
      <c r="L59" s="70">
        <f>SUMIFS(D10:D25,E10:E25,"&gt;="&amp;D3,E10:E25,"&lt;="&amp;D3+7,I10:I25,"ON TRACK")</f>
        <v>0</v>
      </c>
      <c r="M59" s="70">
        <f>SUMIFS(D10:D25,E10:E25,"&gt;="&amp;D3+8,E10:E25,"&lt;="&amp;D3+14,I10:I25,"ON TRACK")</f>
        <v>0</v>
      </c>
      <c r="N59" s="70">
        <f>SUMIFS(D10:D25,E10:E25,"&gt;="&amp;D3+15,E10:E25,"&lt;="&amp;D3+21,I10:I25,"ON TRACK")</f>
        <v>0</v>
      </c>
      <c r="O59" s="70">
        <f>SUMIFS(D10:D25,E10:E25,"&gt;="&amp;D3+22,E10:E25,"&lt;="&amp;D3+28,I10:I25,"ON TRACK")</f>
        <v>0</v>
      </c>
      <c r="P59" s="70">
        <f>SUMIFS(D10:D25,E10:E25,"&gt;="&amp;D3+29,E10:E25,"&lt;="&amp;D3+35,I10:I25,"ON TRACK")</f>
        <v>0</v>
      </c>
      <c r="Q59" s="70">
        <f>SUMIFS(D10:D25,E10:E25,"&gt;="&amp;D3+36,E10:E25,"&lt;="&amp;D3+42,I10:I25,"ON TRACK")</f>
        <v>0</v>
      </c>
      <c r="R59" s="70">
        <f>SUMIFS(D10:D25,E10:E25,"&gt;="&amp;D3+43,E10:E25,"&lt;="&amp;D3+49,I10:I25,"ON TRACK")</f>
        <v>0</v>
      </c>
      <c r="S59" s="70">
        <f>SUMIFS(D10:D25,E10:E25,"&gt;="&amp;D3+50,E10:E25,"&lt;="&amp;D3+56,I10:I25,"ON TRACK")</f>
        <v>0</v>
      </c>
      <c r="T59" s="70">
        <f>SUMIFS(D10:D25,E10:E25,"&gt;="&amp;D3+57,E10:E25,"&lt;="&amp;D3+63,I10:I25,"ON TRACK")</f>
        <v>0</v>
      </c>
      <c r="U59" s="70">
        <f>SUMIFS(D10:D25,E10:E25,"&gt;="&amp;D3+64,E10:E25,"&lt;="&amp;D3+70,I10:I25,"ON TRACK")</f>
        <v>0</v>
      </c>
      <c r="V59" s="70">
        <f>SUMIFS(D10:D25,E10:E25,"&gt;="&amp;D3+71,E10:E25,"&lt;="&amp;D3+77,I10:I25,"ON TRACK")</f>
        <v>0</v>
      </c>
      <c r="W59" s="70">
        <f>SUMIFS(D10:D25,E10:E25,"&gt;="&amp;D3+78,E10:E25,"&lt;="&amp;D3+84,I10:I25,"ON TRACK")</f>
        <v>0</v>
      </c>
      <c r="X59" s="70">
        <f>SUMIFS(D10:D25,E10:E25,"&gt;="&amp;D3+85,E10:E25,"&lt;="&amp;D3+91,I10:I25,"ON TRACK")</f>
        <v>0</v>
      </c>
      <c r="Y59" s="70">
        <f>SUMIFS(D10:D25,E10:E25,"&gt;="&amp;D3+92,E10:E25,"&lt;="&amp;D3+98,I10:I25,"ON TRACK")</f>
        <v>0</v>
      </c>
      <c r="Z59" s="70">
        <f>SUMIFS(D10:D25,E10:E25,"&gt;="&amp;D3+99,E10:E25,"&lt;="&amp;D3+105,I10:I25,"ON TRACK")</f>
        <v>0</v>
      </c>
      <c r="AA59" s="70">
        <f>SUMIFS(D10:D25,E10:E25,"&gt;="&amp;D3+106,E10:E25,"&lt;="&amp;D3+112,I10:I25,"ON TRACK")</f>
        <v>0</v>
      </c>
      <c r="AB59" s="70">
        <f>SUMIFS(D10:D25,E10:E25,"&gt;="&amp;D3+113,E10:E25,"&lt;="&amp;D3+119,I10:I25,"ON TRACK")</f>
        <v>0</v>
      </c>
      <c r="AC59" s="60">
        <f t="shared" si="1"/>
        <v>0</v>
      </c>
    </row>
    <row r="60" spans="2:29" ht="20.100000000000001" customHeight="1">
      <c r="K60" s="62" t="s">
        <v>84</v>
      </c>
      <c r="L60" s="71">
        <f>SUM(L57:L59)</f>
        <v>0</v>
      </c>
      <c r="M60" s="71">
        <f t="shared" ref="M60:AB60" si="2">SUM(M57:M59)</f>
        <v>0</v>
      </c>
      <c r="N60" s="71">
        <f t="shared" si="2"/>
        <v>0</v>
      </c>
      <c r="O60" s="71">
        <f t="shared" si="2"/>
        <v>0</v>
      </c>
      <c r="P60" s="71">
        <f t="shared" si="2"/>
        <v>0</v>
      </c>
      <c r="Q60" s="71">
        <f t="shared" si="2"/>
        <v>0</v>
      </c>
      <c r="R60" s="71">
        <f t="shared" si="2"/>
        <v>0</v>
      </c>
      <c r="S60" s="71">
        <f t="shared" si="2"/>
        <v>0</v>
      </c>
      <c r="T60" s="71">
        <f t="shared" si="2"/>
        <v>0</v>
      </c>
      <c r="U60" s="71">
        <f t="shared" si="2"/>
        <v>0</v>
      </c>
      <c r="V60" s="71">
        <f t="shared" si="2"/>
        <v>0</v>
      </c>
      <c r="W60" s="71">
        <f t="shared" si="2"/>
        <v>0</v>
      </c>
      <c r="X60" s="71">
        <f t="shared" si="2"/>
        <v>0</v>
      </c>
      <c r="Y60" s="71">
        <f t="shared" si="2"/>
        <v>0</v>
      </c>
      <c r="Z60" s="71">
        <f t="shared" si="2"/>
        <v>0</v>
      </c>
      <c r="AA60" s="71">
        <f t="shared" si="2"/>
        <v>0</v>
      </c>
      <c r="AB60" s="71">
        <f t="shared" si="2"/>
        <v>0</v>
      </c>
      <c r="AC60" s="60">
        <f t="shared" si="1"/>
        <v>0</v>
      </c>
    </row>
    <row r="61" spans="2:29" ht="20.100000000000001" customHeight="1">
      <c r="K61" s="17" t="s">
        <v>85</v>
      </c>
      <c r="L61" s="72">
        <f>AC55</f>
        <v>0</v>
      </c>
      <c r="M61" s="72">
        <f>($L$61-$L$61/$H$7)</f>
        <v>0</v>
      </c>
      <c r="N61" s="72" t="str">
        <f>IF(M61-$M$62&gt;0,M61-$M$62,"0")</f>
        <v>0</v>
      </c>
      <c r="O61" s="72" t="str">
        <f t="shared" ref="O61:AB61" si="3">IF(N61-$M$62&gt;0,N61-$M$62,"0")</f>
        <v>0</v>
      </c>
      <c r="P61" s="72" t="str">
        <f t="shared" si="3"/>
        <v>0</v>
      </c>
      <c r="Q61" s="72" t="str">
        <f t="shared" si="3"/>
        <v>0</v>
      </c>
      <c r="R61" s="72" t="str">
        <f t="shared" si="3"/>
        <v>0</v>
      </c>
      <c r="S61" s="72" t="str">
        <f t="shared" si="3"/>
        <v>0</v>
      </c>
      <c r="T61" s="72" t="str">
        <f t="shared" si="3"/>
        <v>0</v>
      </c>
      <c r="U61" s="72" t="str">
        <f t="shared" si="3"/>
        <v>0</v>
      </c>
      <c r="V61" s="72" t="str">
        <f t="shared" si="3"/>
        <v>0</v>
      </c>
      <c r="W61" s="72" t="str">
        <f t="shared" si="3"/>
        <v>0</v>
      </c>
      <c r="X61" s="72" t="str">
        <f t="shared" si="3"/>
        <v>0</v>
      </c>
      <c r="Y61" s="72" t="str">
        <f t="shared" si="3"/>
        <v>0</v>
      </c>
      <c r="Z61" s="72" t="str">
        <f t="shared" si="3"/>
        <v>0</v>
      </c>
      <c r="AA61" s="72" t="str">
        <f t="shared" si="3"/>
        <v>0</v>
      </c>
      <c r="AB61" s="72" t="str">
        <f t="shared" si="3"/>
        <v>0</v>
      </c>
    </row>
    <row r="62" spans="2:29" ht="20.100000000000001" customHeight="1">
      <c r="L62" s="73"/>
      <c r="M62" s="74">
        <f>L61-M61</f>
        <v>0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2:29" ht="20.100000000000001" customHeight="1"/>
    <row r="64" spans="2:29" s="11" customFormat="1" ht="50.1" customHeight="1">
      <c r="B64" s="17"/>
      <c r="C64" s="17"/>
      <c r="D64" s="17"/>
    </row>
    <row r="65" s="17" customFormat="1" ht="20.100000000000001" customHeight="1"/>
    <row r="67" s="17" customFormat="1" ht="20.100000000000001" customHeight="1"/>
    <row r="68" s="17" customFormat="1" ht="20.100000000000001" customHeight="1"/>
    <row r="151" spans="2:10" ht="28.5">
      <c r="B151" s="3" t="s">
        <v>86</v>
      </c>
      <c r="C151" s="3"/>
      <c r="D151" s="3"/>
    </row>
    <row r="157" spans="2:10" s="11" customFormat="1" ht="50.1" customHeight="1">
      <c r="B157" s="17"/>
      <c r="C157" s="17"/>
      <c r="D157" s="17"/>
      <c r="E157" s="3"/>
      <c r="F157" s="3"/>
      <c r="G157" s="3"/>
      <c r="H157" s="3"/>
      <c r="I157" s="3"/>
      <c r="J157" s="3"/>
    </row>
  </sheetData>
  <mergeCells count="6">
    <mergeCell ref="H5:H6"/>
    <mergeCell ref="C53:D53"/>
    <mergeCell ref="B2:C2"/>
    <mergeCell ref="B3:C3"/>
    <mergeCell ref="D5:F5"/>
    <mergeCell ref="G5:G6"/>
  </mergeCells>
  <phoneticPr fontId="40" type="noConversion"/>
  <conditionalFormatting sqref="D11:D13 D15:D17 D19:D21 D23:D25">
    <cfRule type="containsText" dxfId="13" priority="5" operator="containsText" text="低">
      <formula>NOT(ISERROR(SEARCH("低",D11)))</formula>
    </cfRule>
    <cfRule type="containsText" dxfId="12" priority="6" operator="containsText" text="中">
      <formula>NOT(ISERROR(SEARCH("中",D11)))</formula>
    </cfRule>
    <cfRule type="containsText" dxfId="11" priority="7" operator="containsText" text="高">
      <formula>NOT(ISERROR(SEARCH("高",D11)))</formula>
    </cfRule>
  </conditionalFormatting>
  <conditionalFormatting sqref="I11:I13 I15:I17 I19:I21 I23:I25 B54:B57">
    <cfRule type="containsText" dxfId="10" priority="1" operator="containsText" text="未開始">
      <formula>NOT(ISERROR(SEARCH("未開始",B11)))</formula>
    </cfRule>
    <cfRule type="containsText" dxfId="9" priority="2" operator="containsText" text="遅延">
      <formula>NOT(ISERROR(SEARCH("遅延",B11)))</formula>
    </cfRule>
    <cfRule type="containsText" dxfId="8" priority="3" operator="containsText" text="完了">
      <formula>NOT(ISERROR(SEARCH("完了",B11)))</formula>
    </cfRule>
    <cfRule type="containsText" dxfId="7" priority="4" operator="containsText" text="順調">
      <formula>NOT(ISERROR(SEARCH("順調",B11)))</formula>
    </cfRule>
  </conditionalFormatting>
  <hyperlinks>
    <hyperlink ref="B157:J157" r:id="rId1" display="CLICK HERE TO CREATE IN SMARTSHEET" xr:uid="{885873CD-A1DD-E346-BDCD-FE52413F11F5}"/>
  </hyperlinks>
  <pageMargins left="0.4" right="0.4" top="0.4" bottom="0.4" header="0" footer="0"/>
  <pageSetup scale="70" fitToHeight="0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E48325-9FA5-9445-B42A-F0B91B6911F1}">
          <x14:formula1>
            <xm:f>'ドロップダウン キー'!$D$4:$D$7</xm:f>
          </x14:formula1>
          <xm:sqref>I10:I25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542E6-A4CD-1148-8C84-A102B9CC5B49}">
  <sheetPr>
    <tabColor theme="2" tint="-9.9978637043366805E-2"/>
  </sheetPr>
  <dimension ref="A1:DI53"/>
  <sheetViews>
    <sheetView showGridLines="0" workbookViewId="0">
      <selection activeCell="G15" sqref="G15"/>
    </sheetView>
  </sheetViews>
  <sheetFormatPr defaultColWidth="11" defaultRowHeight="17.25"/>
  <cols>
    <col min="1" max="1" width="3.375" style="76" customWidth="1"/>
    <col min="2" max="2" width="11" style="11"/>
    <col min="3" max="3" width="3.375" style="76" customWidth="1"/>
    <col min="4" max="4" width="13.875" style="11" customWidth="1"/>
    <col min="5" max="5" width="3.375" style="76" customWidth="1"/>
    <col min="6" max="16384" width="11" style="11"/>
  </cols>
  <sheetData>
    <row r="1" spans="1:113" ht="42" customHeight="1">
      <c r="A1" s="5"/>
      <c r="B1" s="8" t="s">
        <v>88</v>
      </c>
      <c r="C1" s="5"/>
      <c r="D1" s="7"/>
      <c r="E1" s="9"/>
      <c r="F1" s="9"/>
      <c r="G1" s="9"/>
      <c r="H1" s="7"/>
      <c r="I1" s="7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7"/>
      <c r="AJ1" s="7"/>
      <c r="AK1" s="10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7"/>
      <c r="CG1" s="7"/>
      <c r="CH1" s="10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I1" s="12"/>
    </row>
    <row r="2" spans="1:113" s="76" customFormat="1" ht="42" customHeight="1" thickBot="1">
      <c r="B2" s="43" t="s">
        <v>89</v>
      </c>
      <c r="C2" s="77"/>
      <c r="D2" s="77"/>
      <c r="E2" s="77"/>
      <c r="F2" s="77"/>
      <c r="G2" s="77"/>
      <c r="H2" s="77"/>
      <c r="I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113" ht="24.95" customHeight="1" thickTop="1">
      <c r="A3" s="78"/>
      <c r="B3" s="79" t="s">
        <v>90</v>
      </c>
      <c r="C3" s="78"/>
      <c r="D3" s="80" t="s">
        <v>91</v>
      </c>
      <c r="E3" s="78"/>
    </row>
    <row r="4" spans="1:113" ht="35.1" customHeight="1">
      <c r="A4" s="78"/>
      <c r="B4" s="81" t="s">
        <v>92</v>
      </c>
      <c r="C4" s="78"/>
      <c r="D4" s="55" t="s">
        <v>40</v>
      </c>
      <c r="E4" s="78"/>
    </row>
    <row r="5" spans="1:113" ht="35.1" customHeight="1">
      <c r="A5" s="78"/>
      <c r="B5" s="82" t="s">
        <v>93</v>
      </c>
      <c r="C5" s="78"/>
      <c r="D5" s="61" t="s">
        <v>81</v>
      </c>
      <c r="E5" s="78"/>
    </row>
    <row r="6" spans="1:113" ht="35.1" customHeight="1">
      <c r="A6" s="78"/>
      <c r="B6" s="83" t="s">
        <v>94</v>
      </c>
      <c r="C6" s="78"/>
      <c r="D6" s="61" t="s">
        <v>83</v>
      </c>
      <c r="E6" s="78"/>
    </row>
    <row r="7" spans="1:113" ht="35.1" customHeight="1">
      <c r="A7" s="78"/>
      <c r="B7" s="84"/>
      <c r="C7" s="78"/>
      <c r="D7" s="64" t="s">
        <v>38</v>
      </c>
      <c r="E7" s="78"/>
    </row>
    <row r="8" spans="1:113">
      <c r="A8" s="78"/>
      <c r="B8" s="84"/>
      <c r="C8" s="78"/>
      <c r="D8" s="84"/>
      <c r="E8" s="78"/>
    </row>
    <row r="9" spans="1:113">
      <c r="A9" s="78"/>
      <c r="B9" s="84"/>
      <c r="C9" s="78"/>
      <c r="E9" s="78"/>
    </row>
    <row r="10" spans="1:113">
      <c r="A10" s="78"/>
      <c r="B10" s="84"/>
      <c r="C10" s="78"/>
      <c r="E10" s="78"/>
    </row>
    <row r="11" spans="1:113">
      <c r="A11" s="78"/>
      <c r="B11" s="84"/>
      <c r="C11" s="78"/>
      <c r="E11" s="78"/>
    </row>
    <row r="12" spans="1:113">
      <c r="A12" s="78"/>
      <c r="B12" s="84"/>
      <c r="C12" s="78"/>
      <c r="E12" s="78"/>
    </row>
    <row r="13" spans="1:113">
      <c r="A13" s="78"/>
      <c r="B13" s="84"/>
      <c r="C13" s="78"/>
      <c r="E13" s="78"/>
    </row>
    <row r="14" spans="1:113">
      <c r="A14" s="78"/>
      <c r="B14" s="84"/>
      <c r="C14" s="78"/>
      <c r="E14" s="78"/>
    </row>
    <row r="15" spans="1:113">
      <c r="A15" s="78"/>
      <c r="B15" s="84"/>
      <c r="C15" s="78"/>
      <c r="E15" s="78"/>
    </row>
    <row r="16" spans="1:113">
      <c r="A16" s="78"/>
      <c r="B16" s="84"/>
      <c r="C16" s="78"/>
      <c r="E16" s="78"/>
    </row>
    <row r="17" spans="1:5">
      <c r="A17" s="78"/>
      <c r="B17" s="84"/>
      <c r="C17" s="78"/>
      <c r="E17" s="78"/>
    </row>
    <row r="18" spans="1:5">
      <c r="A18" s="78"/>
      <c r="B18" s="84"/>
      <c r="C18" s="78"/>
      <c r="E18" s="78"/>
    </row>
    <row r="19" spans="1:5">
      <c r="A19" s="78"/>
      <c r="B19" s="84"/>
      <c r="C19" s="78"/>
      <c r="E19" s="78"/>
    </row>
    <row r="20" spans="1:5">
      <c r="A20" s="78"/>
      <c r="B20" s="84"/>
      <c r="C20" s="78"/>
      <c r="E20" s="78"/>
    </row>
    <row r="21" spans="1:5">
      <c r="A21" s="78"/>
      <c r="B21" s="84"/>
      <c r="C21" s="78"/>
      <c r="E21" s="78"/>
    </row>
    <row r="22" spans="1:5">
      <c r="A22" s="78"/>
      <c r="B22" s="84"/>
      <c r="C22" s="78"/>
      <c r="E22" s="78"/>
    </row>
    <row r="23" spans="1:5">
      <c r="A23" s="78"/>
      <c r="B23" s="84"/>
      <c r="C23" s="78"/>
      <c r="E23" s="78"/>
    </row>
    <row r="24" spans="1:5">
      <c r="A24" s="11"/>
      <c r="B24" s="84"/>
      <c r="C24" s="11"/>
      <c r="E24" s="11"/>
    </row>
    <row r="25" spans="1:5">
      <c r="A25" s="78"/>
      <c r="C25" s="78"/>
      <c r="E25" s="78"/>
    </row>
    <row r="26" spans="1:5">
      <c r="A26" s="78"/>
      <c r="C26" s="78"/>
      <c r="E26" s="78"/>
    </row>
    <row r="27" spans="1:5">
      <c r="A27" s="78"/>
      <c r="C27" s="78"/>
      <c r="E27" s="78"/>
    </row>
    <row r="28" spans="1:5">
      <c r="A28" s="78"/>
      <c r="C28" s="78"/>
      <c r="E28" s="78"/>
    </row>
    <row r="29" spans="1:5">
      <c r="A29" s="78"/>
      <c r="C29" s="78"/>
      <c r="E29" s="78"/>
    </row>
    <row r="30" spans="1:5">
      <c r="A30" s="78"/>
      <c r="C30" s="78"/>
      <c r="E30" s="78"/>
    </row>
    <row r="31" spans="1:5">
      <c r="A31" s="78"/>
      <c r="C31" s="78"/>
      <c r="E31" s="78"/>
    </row>
    <row r="32" spans="1:5">
      <c r="A32" s="78"/>
      <c r="C32" s="78"/>
      <c r="E32" s="78"/>
    </row>
    <row r="33" spans="1:5">
      <c r="A33" s="78"/>
      <c r="C33" s="78"/>
      <c r="E33" s="78"/>
    </row>
    <row r="34" spans="1:5">
      <c r="A34" s="78"/>
      <c r="C34" s="78"/>
      <c r="E34" s="78"/>
    </row>
    <row r="35" spans="1:5">
      <c r="A35" s="78"/>
      <c r="C35" s="78"/>
      <c r="E35" s="78"/>
    </row>
    <row r="36" spans="1:5">
      <c r="A36" s="78"/>
      <c r="C36" s="78"/>
      <c r="E36" s="78"/>
    </row>
    <row r="37" spans="1:5">
      <c r="A37" s="78"/>
      <c r="C37" s="78"/>
      <c r="E37" s="78"/>
    </row>
    <row r="38" spans="1:5">
      <c r="A38" s="78"/>
      <c r="C38" s="78"/>
      <c r="E38" s="78"/>
    </row>
    <row r="39" spans="1:5">
      <c r="A39" s="78"/>
      <c r="C39" s="78"/>
      <c r="E39" s="78"/>
    </row>
    <row r="40" spans="1:5">
      <c r="A40" s="78"/>
      <c r="C40" s="78"/>
      <c r="E40" s="78"/>
    </row>
    <row r="41" spans="1:5">
      <c r="A41" s="78"/>
      <c r="C41" s="78"/>
      <c r="E41" s="78"/>
    </row>
    <row r="42" spans="1:5">
      <c r="A42" s="78"/>
      <c r="C42" s="78"/>
      <c r="E42" s="78"/>
    </row>
    <row r="43" spans="1:5">
      <c r="A43" s="78"/>
      <c r="C43" s="78"/>
      <c r="E43" s="78"/>
    </row>
    <row r="44" spans="1:5">
      <c r="A44" s="78"/>
      <c r="C44" s="78"/>
      <c r="E44" s="78"/>
    </row>
    <row r="45" spans="1:5">
      <c r="A45" s="78"/>
      <c r="C45" s="78"/>
      <c r="E45" s="78"/>
    </row>
    <row r="46" spans="1:5">
      <c r="A46" s="78"/>
      <c r="C46" s="78"/>
      <c r="E46" s="78"/>
    </row>
    <row r="47" spans="1:5">
      <c r="A47" s="78"/>
      <c r="C47" s="78"/>
      <c r="E47" s="78"/>
    </row>
    <row r="48" spans="1:5">
      <c r="A48" s="78"/>
      <c r="C48" s="78"/>
      <c r="E48" s="78"/>
    </row>
    <row r="49" spans="1:5">
      <c r="A49" s="78"/>
      <c r="C49" s="78"/>
      <c r="E49" s="78"/>
    </row>
    <row r="50" spans="1:5">
      <c r="A50" s="78"/>
      <c r="C50" s="78"/>
      <c r="E50" s="78"/>
    </row>
    <row r="51" spans="1:5">
      <c r="A51" s="78"/>
      <c r="C51" s="78"/>
      <c r="E51" s="78"/>
    </row>
    <row r="52" spans="1:5">
      <c r="A52" s="78"/>
      <c r="C52" s="78"/>
      <c r="E52" s="78"/>
    </row>
    <row r="53" spans="1:5">
      <c r="A53" s="78"/>
      <c r="C53" s="78"/>
      <c r="E53" s="78"/>
    </row>
  </sheetData>
  <phoneticPr fontId="40" type="noConversion"/>
  <conditionalFormatting sqref="B4:B6">
    <cfRule type="containsText" dxfId="6" priority="6" operator="containsText" text="低">
      <formula>NOT(ISERROR(SEARCH("低",B4)))</formula>
    </cfRule>
    <cfRule type="containsText" dxfId="5" priority="7" operator="containsText" text="中">
      <formula>NOT(ISERROR(SEARCH("中",B4)))</formula>
    </cfRule>
    <cfRule type="containsText" dxfId="4" priority="8" operator="containsText" text="高">
      <formula>NOT(ISERROR(SEARCH("高",B4)))</formula>
    </cfRule>
  </conditionalFormatting>
  <conditionalFormatting sqref="D4:D7">
    <cfRule type="containsText" dxfId="3" priority="1" operator="containsText" text="未開始">
      <formula>NOT(ISERROR(SEARCH("未開始",D4)))</formula>
    </cfRule>
    <cfRule type="containsText" dxfId="2" priority="2" operator="containsText" text="遅延">
      <formula>NOT(ISERROR(SEARCH("遅延",D4)))</formula>
    </cfRule>
    <cfRule type="containsText" dxfId="1" priority="3" operator="containsText" text="完了">
      <formula>NOT(ISERROR(SEARCH("完了",D4)))</formula>
    </cfRule>
    <cfRule type="containsText" dxfId="0" priority="4" operator="containsText" text="順調">
      <formula>NOT(ISERROR(SEARCH("順調",D4)))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B08B-0CFB-E449-B64E-B6B2E1AFF116}">
  <sheetPr>
    <tabColor theme="1" tint="0.249977111117893"/>
  </sheetPr>
  <dimension ref="B1:B2"/>
  <sheetViews>
    <sheetView showGridLines="0" workbookViewId="0">
      <selection activeCell="B15" sqref="B15"/>
    </sheetView>
  </sheetViews>
  <sheetFormatPr defaultColWidth="10.875" defaultRowHeight="15"/>
  <cols>
    <col min="1" max="1" width="3.375" style="2" customWidth="1"/>
    <col min="2" max="2" width="94.75" style="2" customWidth="1"/>
    <col min="3" max="16384" width="10.875" style="2"/>
  </cols>
  <sheetData>
    <row r="1" spans="2:2" ht="20.100000000000001" customHeight="1"/>
    <row r="2" spans="2:2" ht="105" customHeight="1">
      <c r="B2" s="1" t="s">
        <v>95</v>
      </c>
    </row>
  </sheetData>
  <phoneticPr fontId="4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- 週次アジャイル スプリント レポート</vt:lpstr>
      <vt:lpstr>空白 - 週次アジャイル スプリント レポート</vt:lpstr>
      <vt:lpstr>ドロップダウン キー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2023-11-13T19:10:45Z</dcterms:modified>
</cp:coreProperties>
</file>