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1"/>
  <workbookPr filterPrivacy="1" codeName="ThisWorkbook"/>
  <xr:revisionPtr revIDLastSave="0" documentId="13_ncr:1_{289D0A32-9434-7444-A928-5578D6296B68}" xr6:coauthVersionLast="47" xr6:coauthVersionMax="47" xr10:uidLastSave="{00000000-0000-0000-0000-000000000000}"/>
  <bookViews>
    <workbookView xWindow="45420" yWindow="480" windowWidth="21180" windowHeight="21100" xr2:uid="{00000000-000D-0000-FFFF-FFFF00000000}"/>
  </bookViews>
  <sheets>
    <sheet name="割引キャッシュ フロー - EX" sheetId="1" r:id="rId1"/>
    <sheet name="割引キャッシュ フロー - 空白" sheetId="10" r:id="rId2"/>
    <sheet name="– 免責条項 –" sheetId="9" r:id="rId3"/>
  </sheets>
  <externalReferences>
    <externalReference r:id="rId4"/>
    <externalReference r:id="rId5"/>
  </externalReferences>
  <definedNames>
    <definedName name="_ITEM1" localSheetId="1">'[1]Roles &amp; Responsibilities BLANK'!#REF!</definedName>
    <definedName name="_ITEM1">'[1]Roles &amp; Responsibilities BLANK'!#REF!</definedName>
    <definedName name="_ITEM2" localSheetId="1">'[1]Roles &amp; Responsibilities BLANK'!#REF!</definedName>
    <definedName name="_ITEM2">'[1]Roles &amp; Responsibilities BLANK'!#REF!</definedName>
    <definedName name="_ITEM3" localSheetId="1">'[1]Roles &amp; Responsibilities BLANK'!#REF!</definedName>
    <definedName name="_ITEM3">'[1]Roles &amp; Responsibilities BLANK'!#REF!</definedName>
    <definedName name="_ITEM4" localSheetId="1">'[1]Roles &amp; Responsibilities BLANK'!#REF!</definedName>
    <definedName name="_ITEM4">'[1]Roles &amp; Responsibilities BLANK'!#REF!</definedName>
    <definedName name="_ITEM5" localSheetId="1">'[1]Roles &amp; Responsibilities BLANK'!#REF!</definedName>
    <definedName name="_ITEM5">'[1]Roles &amp; Responsibilities BLANK'!#REF!</definedName>
    <definedName name="_ITEM6" localSheetId="1">'[1]Roles &amp; Responsibilities BLANK'!#REF!</definedName>
    <definedName name="_ITEM6">'[1]Roles &amp; Responsibilities BLANK'!#REF!</definedName>
    <definedName name="EV" localSheetId="1">'割引キャッシュ フロー - 空白'!$C$77</definedName>
    <definedName name="EV">'割引キャッシュ フロー - EX'!$C$77</definedName>
    <definedName name="_xlnm.Print_Area" localSheetId="0">'割引キャッシュ フロー - EX'!$B$1:$M$94</definedName>
    <definedName name="_xlnm.Print_Area" localSheetId="1">'割引キャッシュ フロー - 空白'!$B$1:$M$94</definedName>
    <definedName name="Type" localSheetId="1">'[2]Maintenance Work Order'!#REF!</definedName>
    <definedName name="Type">'[2]Maintenance Work Order'!#REF!</definedName>
    <definedName name="WACC" localSheetId="1">'割引キャッシュ フロー - 空白'!$C$59</definedName>
    <definedName name="WACC">'割引キャッシュ フロー - EX'!$C$59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0" i="10" l="1"/>
  <c r="H72" i="10"/>
  <c r="I72" i="10"/>
  <c r="J72" i="10"/>
  <c r="K72" i="10"/>
  <c r="C91" i="10"/>
  <c r="F69" i="10"/>
  <c r="E69" i="10"/>
  <c r="D69" i="10"/>
  <c r="F68" i="10"/>
  <c r="G68" i="10"/>
  <c r="E68" i="10"/>
  <c r="D68" i="10"/>
  <c r="C68" i="10"/>
  <c r="F66" i="10"/>
  <c r="E66" i="10"/>
  <c r="D66" i="10"/>
  <c r="L65" i="10"/>
  <c r="L64" i="10"/>
  <c r="C57" i="10"/>
  <c r="C58" i="10"/>
  <c r="F41" i="10"/>
  <c r="C35" i="10"/>
  <c r="C34" i="10"/>
  <c r="G33" i="10"/>
  <c r="F33" i="10"/>
  <c r="I33" i="10"/>
  <c r="G32" i="10"/>
  <c r="F32" i="10"/>
  <c r="I32" i="10"/>
  <c r="F31" i="10"/>
  <c r="I31" i="10"/>
  <c r="G31" i="10"/>
  <c r="G30" i="10"/>
  <c r="F30" i="10"/>
  <c r="I30" i="10"/>
  <c r="G29" i="10"/>
  <c r="F29" i="10"/>
  <c r="F23" i="10"/>
  <c r="E23" i="10"/>
  <c r="D23" i="10"/>
  <c r="C23" i="10"/>
  <c r="L22" i="10"/>
  <c r="F18" i="10"/>
  <c r="F20" i="10"/>
  <c r="E18" i="10"/>
  <c r="E20" i="10"/>
  <c r="D18" i="10"/>
  <c r="D20" i="10"/>
  <c r="D63" i="10"/>
  <c r="C18" i="10"/>
  <c r="C20" i="10"/>
  <c r="F17" i="10"/>
  <c r="E17" i="10"/>
  <c r="D17" i="10"/>
  <c r="C17" i="10"/>
  <c r="H16" i="10"/>
  <c r="I16" i="10"/>
  <c r="J16" i="10"/>
  <c r="K16" i="10"/>
  <c r="F16" i="10"/>
  <c r="E16" i="10"/>
  <c r="D16" i="10"/>
  <c r="L15" i="10"/>
  <c r="G15" i="10"/>
  <c r="F14" i="10"/>
  <c r="E14" i="10"/>
  <c r="D14" i="10"/>
  <c r="C14" i="10"/>
  <c r="L13" i="10"/>
  <c r="L12" i="10"/>
  <c r="H11" i="10"/>
  <c r="I11" i="10"/>
  <c r="J11" i="10"/>
  <c r="K11" i="10"/>
  <c r="F11" i="10"/>
  <c r="E11" i="10"/>
  <c r="D11" i="10"/>
  <c r="L10" i="10"/>
  <c r="G10" i="10"/>
  <c r="F9" i="10"/>
  <c r="G9" i="10"/>
  <c r="E9" i="10"/>
  <c r="D9" i="10"/>
  <c r="C9" i="10"/>
  <c r="L9" i="10"/>
  <c r="C57" i="1"/>
  <c r="C58" i="1"/>
  <c r="F9" i="1"/>
  <c r="F29" i="1"/>
  <c r="I29" i="1"/>
  <c r="G29" i="1"/>
  <c r="F30" i="1"/>
  <c r="G30" i="1"/>
  <c r="F31" i="1"/>
  <c r="I31" i="1"/>
  <c r="G31" i="1"/>
  <c r="F32" i="1"/>
  <c r="I32" i="1"/>
  <c r="G32" i="1"/>
  <c r="F33" i="1"/>
  <c r="I33" i="1"/>
  <c r="G33" i="1"/>
  <c r="C34" i="1"/>
  <c r="C35" i="1"/>
  <c r="F41" i="1"/>
  <c r="L65" i="1"/>
  <c r="L64" i="1"/>
  <c r="L22" i="1"/>
  <c r="L15" i="1"/>
  <c r="L13" i="1"/>
  <c r="L12" i="1"/>
  <c r="G14" i="10"/>
  <c r="G23" i="10"/>
  <c r="H23" i="10"/>
  <c r="I23" i="10"/>
  <c r="J23" i="10"/>
  <c r="K23" i="10"/>
  <c r="F35" i="10"/>
  <c r="G35" i="10"/>
  <c r="C47" i="10"/>
  <c r="C46" i="10"/>
  <c r="H15" i="10"/>
  <c r="G67" i="10"/>
  <c r="G69" i="10"/>
  <c r="G66" i="10"/>
  <c r="H66" i="10"/>
  <c r="E19" i="10"/>
  <c r="I15" i="10"/>
  <c r="E70" i="10"/>
  <c r="E63" i="10"/>
  <c r="E21" i="10"/>
  <c r="H9" i="10"/>
  <c r="H76" i="10"/>
  <c r="F70" i="10"/>
  <c r="F63" i="10"/>
  <c r="F21" i="10"/>
  <c r="L20" i="10"/>
  <c r="E41" i="10"/>
  <c r="C48" i="10"/>
  <c r="H14" i="10"/>
  <c r="G13" i="10"/>
  <c r="G12" i="10"/>
  <c r="G18" i="10"/>
  <c r="G22" i="10"/>
  <c r="C63" i="10"/>
  <c r="C21" i="10"/>
  <c r="G34" i="10"/>
  <c r="G76" i="10"/>
  <c r="H10" i="10"/>
  <c r="H17" i="10"/>
  <c r="L18" i="10"/>
  <c r="F19" i="10"/>
  <c r="I29" i="10"/>
  <c r="H68" i="10"/>
  <c r="D70" i="10"/>
  <c r="G17" i="10"/>
  <c r="D19" i="10"/>
  <c r="D21" i="10"/>
  <c r="F34" i="10"/>
  <c r="G34" i="1"/>
  <c r="F34" i="1"/>
  <c r="G35" i="1"/>
  <c r="C47" i="1"/>
  <c r="C46" i="1"/>
  <c r="I30" i="1"/>
  <c r="F35" i="1"/>
  <c r="H11" i="1"/>
  <c r="I11" i="1"/>
  <c r="J11" i="1"/>
  <c r="K11" i="1"/>
  <c r="C80" i="1"/>
  <c r="F17" i="1"/>
  <c r="E17" i="1"/>
  <c r="D17" i="1"/>
  <c r="C17" i="1"/>
  <c r="D18" i="1"/>
  <c r="D20" i="1"/>
  <c r="D63" i="1"/>
  <c r="F18" i="1"/>
  <c r="F20" i="1"/>
  <c r="F63" i="1"/>
  <c r="E18" i="1"/>
  <c r="E20" i="1"/>
  <c r="E63" i="1"/>
  <c r="E9" i="1"/>
  <c r="G15" i="1"/>
  <c r="H16" i="1"/>
  <c r="I16" i="1"/>
  <c r="J16" i="1"/>
  <c r="K16" i="1"/>
  <c r="F14" i="1"/>
  <c r="E14" i="1"/>
  <c r="D14" i="1"/>
  <c r="C14" i="1"/>
  <c r="F16" i="1"/>
  <c r="E16" i="1"/>
  <c r="D16" i="1"/>
  <c r="F23" i="1"/>
  <c r="E23" i="1"/>
  <c r="D23" i="1"/>
  <c r="C23" i="1"/>
  <c r="G65" i="10"/>
  <c r="L63" i="10"/>
  <c r="I35" i="10"/>
  <c r="D41" i="10"/>
  <c r="G41" i="10"/>
  <c r="C52" i="10"/>
  <c r="C54" i="10"/>
  <c r="C59" i="10"/>
  <c r="I34" i="10"/>
  <c r="I66" i="10"/>
  <c r="H65" i="10"/>
  <c r="G20" i="10"/>
  <c r="G19" i="10"/>
  <c r="I14" i="10"/>
  <c r="H13" i="10"/>
  <c r="H12" i="10"/>
  <c r="H18" i="10"/>
  <c r="I9" i="10"/>
  <c r="I76" i="10"/>
  <c r="I68" i="10"/>
  <c r="H67" i="10"/>
  <c r="I10" i="10"/>
  <c r="I17" i="10"/>
  <c r="H22" i="10"/>
  <c r="J15" i="10"/>
  <c r="E41" i="1"/>
  <c r="C48" i="1"/>
  <c r="I35" i="1"/>
  <c r="D41" i="1"/>
  <c r="I34" i="1"/>
  <c r="G14" i="1"/>
  <c r="G23" i="1"/>
  <c r="H23" i="1"/>
  <c r="I23" i="1"/>
  <c r="J23" i="1"/>
  <c r="K23" i="1"/>
  <c r="G76" i="1"/>
  <c r="H15" i="1"/>
  <c r="I15" i="1"/>
  <c r="J15" i="1"/>
  <c r="K15" i="1"/>
  <c r="M15" i="1"/>
  <c r="G9" i="1"/>
  <c r="H76" i="1"/>
  <c r="E19" i="1"/>
  <c r="F19" i="1"/>
  <c r="D9" i="1"/>
  <c r="C9" i="1"/>
  <c r="L9" i="1"/>
  <c r="L10" i="1"/>
  <c r="F66" i="1"/>
  <c r="E66" i="1"/>
  <c r="D66" i="1"/>
  <c r="H72" i="1"/>
  <c r="F11" i="1"/>
  <c r="E11" i="1"/>
  <c r="D11" i="1"/>
  <c r="G10" i="1"/>
  <c r="H19" i="10"/>
  <c r="H20" i="10"/>
  <c r="J76" i="10"/>
  <c r="J9" i="10"/>
  <c r="J68" i="10"/>
  <c r="I67" i="10"/>
  <c r="I69" i="10"/>
  <c r="J14" i="10"/>
  <c r="I13" i="10"/>
  <c r="I12" i="10"/>
  <c r="I18" i="10"/>
  <c r="I65" i="10"/>
  <c r="J66" i="10"/>
  <c r="G63" i="10"/>
  <c r="G64" i="10"/>
  <c r="G70" i="10"/>
  <c r="G21" i="10"/>
  <c r="H69" i="10"/>
  <c r="K15" i="10"/>
  <c r="J10" i="10"/>
  <c r="I22" i="10"/>
  <c r="I71" i="10"/>
  <c r="I73" i="10"/>
  <c r="H71" i="10"/>
  <c r="H73" i="10"/>
  <c r="C92" i="10"/>
  <c r="K71" i="10"/>
  <c r="K73" i="10"/>
  <c r="G71" i="10"/>
  <c r="G73" i="10"/>
  <c r="J71" i="10"/>
  <c r="J73" i="10"/>
  <c r="G41" i="1"/>
  <c r="C52" i="1"/>
  <c r="C54" i="1"/>
  <c r="C59" i="1"/>
  <c r="G17" i="1"/>
  <c r="G66" i="1"/>
  <c r="H66" i="1"/>
  <c r="I66" i="1"/>
  <c r="J66" i="1"/>
  <c r="K66" i="1"/>
  <c r="I72" i="1"/>
  <c r="H9" i="1"/>
  <c r="F69" i="1"/>
  <c r="E69" i="1"/>
  <c r="G22" i="1"/>
  <c r="F68" i="1"/>
  <c r="G68" i="1"/>
  <c r="H68" i="1"/>
  <c r="I68" i="1"/>
  <c r="J68" i="1"/>
  <c r="K68" i="1"/>
  <c r="D68" i="1"/>
  <c r="E68" i="1"/>
  <c r="H10" i="1"/>
  <c r="G74" i="10"/>
  <c r="I19" i="10"/>
  <c r="I20" i="10"/>
  <c r="J22" i="10"/>
  <c r="K10" i="10"/>
  <c r="K17" i="10"/>
  <c r="K76" i="10"/>
  <c r="K9" i="10"/>
  <c r="M9" i="10"/>
  <c r="J13" i="10"/>
  <c r="J12" i="10"/>
  <c r="J18" i="10"/>
  <c r="K14" i="10"/>
  <c r="K13" i="10"/>
  <c r="M13" i="10"/>
  <c r="M15" i="10"/>
  <c r="J65" i="10"/>
  <c r="K66" i="10"/>
  <c r="K65" i="10"/>
  <c r="M65" i="10"/>
  <c r="H63" i="10"/>
  <c r="H64" i="10"/>
  <c r="H70" i="10"/>
  <c r="H74" i="10"/>
  <c r="H21" i="10"/>
  <c r="J17" i="10"/>
  <c r="J67" i="10"/>
  <c r="K68" i="10"/>
  <c r="K67" i="10"/>
  <c r="I9" i="1"/>
  <c r="I76" i="1"/>
  <c r="G65" i="1"/>
  <c r="J72" i="1"/>
  <c r="G67" i="1"/>
  <c r="G69" i="1"/>
  <c r="H17" i="1"/>
  <c r="H65" i="1"/>
  <c r="H22" i="1"/>
  <c r="I10" i="1"/>
  <c r="I17" i="1"/>
  <c r="K69" i="10"/>
  <c r="J20" i="10"/>
  <c r="J19" i="10"/>
  <c r="J69" i="10"/>
  <c r="I63" i="10"/>
  <c r="I64" i="10"/>
  <c r="I70" i="10"/>
  <c r="I74" i="10"/>
  <c r="I21" i="10"/>
  <c r="K22" i="10"/>
  <c r="M22" i="10"/>
  <c r="K12" i="10"/>
  <c r="M10" i="10"/>
  <c r="J9" i="1"/>
  <c r="J76" i="1"/>
  <c r="K72" i="1"/>
  <c r="I65" i="1"/>
  <c r="I22" i="1"/>
  <c r="J10" i="1"/>
  <c r="J17" i="1"/>
  <c r="M12" i="10"/>
  <c r="K18" i="10"/>
  <c r="J63" i="10"/>
  <c r="J64" i="10"/>
  <c r="J70" i="10"/>
  <c r="J74" i="10"/>
  <c r="J21" i="10"/>
  <c r="K9" i="1"/>
  <c r="M9" i="1"/>
  <c r="K76" i="1"/>
  <c r="C91" i="1"/>
  <c r="J65" i="1"/>
  <c r="J22" i="1"/>
  <c r="K10" i="1"/>
  <c r="K17" i="1"/>
  <c r="K20" i="10"/>
  <c r="K19" i="10"/>
  <c r="M18" i="10"/>
  <c r="I71" i="1"/>
  <c r="I73" i="1"/>
  <c r="H71" i="1"/>
  <c r="H73" i="1"/>
  <c r="J71" i="1"/>
  <c r="J73" i="1"/>
  <c r="K71" i="1"/>
  <c r="K73" i="1"/>
  <c r="C92" i="1"/>
  <c r="G71" i="1"/>
  <c r="G73" i="1"/>
  <c r="M10" i="1"/>
  <c r="K65" i="1"/>
  <c r="M65" i="1"/>
  <c r="K22" i="1"/>
  <c r="M22" i="1"/>
  <c r="K63" i="10"/>
  <c r="K21" i="10"/>
  <c r="C88" i="10"/>
  <c r="M20" i="10"/>
  <c r="C68" i="1"/>
  <c r="D69" i="1"/>
  <c r="D70" i="1"/>
  <c r="F21" i="1"/>
  <c r="E21" i="1"/>
  <c r="E70" i="1"/>
  <c r="D21" i="1"/>
  <c r="M63" i="10"/>
  <c r="K64" i="10"/>
  <c r="F70" i="1"/>
  <c r="M64" i="10"/>
  <c r="K70" i="10"/>
  <c r="H67" i="1"/>
  <c r="H69" i="1"/>
  <c r="I67" i="1"/>
  <c r="J67" i="1"/>
  <c r="K67" i="1"/>
  <c r="C86" i="10"/>
  <c r="C89" i="10"/>
  <c r="K74" i="10"/>
  <c r="K69" i="1"/>
  <c r="I69" i="1"/>
  <c r="J69" i="1"/>
  <c r="H14" i="1"/>
  <c r="C18" i="1"/>
  <c r="L18" i="1"/>
  <c r="C90" i="10"/>
  <c r="C93" i="10"/>
  <c r="I14" i="1"/>
  <c r="J14" i="1"/>
  <c r="K14" i="1"/>
  <c r="K13" i="1"/>
  <c r="H13" i="1"/>
  <c r="H12" i="1"/>
  <c r="D19" i="1"/>
  <c r="G13" i="1"/>
  <c r="G12" i="1"/>
  <c r="C20" i="1"/>
  <c r="C77" i="10"/>
  <c r="M13" i="1"/>
  <c r="K12" i="1"/>
  <c r="M12" i="1"/>
  <c r="J13" i="1"/>
  <c r="J12" i="1"/>
  <c r="J18" i="1"/>
  <c r="J20" i="1"/>
  <c r="J63" i="1"/>
  <c r="J64" i="1"/>
  <c r="L20" i="1"/>
  <c r="C63" i="1"/>
  <c r="L63" i="1"/>
  <c r="C21" i="1"/>
  <c r="G18" i="1"/>
  <c r="H18" i="1"/>
  <c r="H20" i="1"/>
  <c r="K83" i="10"/>
  <c r="G83" i="10"/>
  <c r="I81" i="10"/>
  <c r="H77" i="10"/>
  <c r="J83" i="10"/>
  <c r="H81" i="10"/>
  <c r="K77" i="10"/>
  <c r="G77" i="10"/>
  <c r="J81" i="10"/>
  <c r="I77" i="10"/>
  <c r="I83" i="10"/>
  <c r="K81" i="10"/>
  <c r="G81" i="10"/>
  <c r="J77" i="10"/>
  <c r="H83" i="10"/>
  <c r="C81" i="10"/>
  <c r="C83" i="10"/>
  <c r="C94" i="10"/>
  <c r="K18" i="1"/>
  <c r="K20" i="1"/>
  <c r="K63" i="1"/>
  <c r="K64" i="1"/>
  <c r="H21" i="1"/>
  <c r="H63" i="1"/>
  <c r="H64" i="1"/>
  <c r="H70" i="1"/>
  <c r="H74" i="1"/>
  <c r="H19" i="1"/>
  <c r="G19" i="1"/>
  <c r="J21" i="1"/>
  <c r="G20" i="1"/>
  <c r="G21" i="1"/>
  <c r="J70" i="1"/>
  <c r="J74" i="1"/>
  <c r="M18" i="1"/>
  <c r="K19" i="1"/>
  <c r="K70" i="1"/>
  <c r="K74" i="1"/>
  <c r="C88" i="1"/>
  <c r="K21" i="1"/>
  <c r="M20" i="1"/>
  <c r="G63" i="1"/>
  <c r="C86" i="1"/>
  <c r="C89" i="1"/>
  <c r="C93" i="1"/>
  <c r="G64" i="1"/>
  <c r="M64" i="1"/>
  <c r="M63" i="1"/>
  <c r="C90" i="1"/>
  <c r="G70" i="1"/>
  <c r="G74" i="1"/>
  <c r="I13" i="1"/>
  <c r="I12" i="1"/>
  <c r="I18" i="1"/>
  <c r="I19" i="1"/>
  <c r="J19" i="1"/>
  <c r="I20" i="1"/>
  <c r="I63" i="1"/>
  <c r="I64" i="1"/>
  <c r="I70" i="1"/>
  <c r="I74" i="1"/>
  <c r="C77" i="1"/>
  <c r="I21" i="1"/>
  <c r="I83" i="1"/>
  <c r="K77" i="1"/>
  <c r="K83" i="1"/>
  <c r="H81" i="1"/>
  <c r="J83" i="1"/>
  <c r="G81" i="1"/>
  <c r="H83" i="1"/>
  <c r="J77" i="1"/>
  <c r="G83" i="1"/>
  <c r="I77" i="1"/>
  <c r="K81" i="1"/>
  <c r="H77" i="1"/>
  <c r="J81" i="1"/>
  <c r="G77" i="1"/>
  <c r="I81" i="1"/>
  <c r="C81" i="1"/>
  <c r="C83" i="1"/>
  <c r="C94" i="1"/>
</calcChain>
</file>

<file path=xl/sharedStrings.xml><?xml version="1.0" encoding="utf-8"?>
<sst xmlns="http://schemas.openxmlformats.org/spreadsheetml/2006/main" count="220" uniqueCount="102">
  <si>
    <t>EBITDA</t>
  </si>
  <si>
    <t>EBIT</t>
  </si>
  <si>
    <t>WACC</t>
  </si>
  <si>
    <t>Capex</t>
  </si>
  <si>
    <t>CAGR</t>
  </si>
  <si>
    <t>OPEX</t>
  </si>
  <si>
    <t>COGS</t>
  </si>
  <si>
    <t>割引期間</t>
  </si>
  <si>
    <t>ディスカウント ファクター</t>
  </si>
  <si>
    <t>ターミナル バリューの現在価値</t>
  </si>
  <si>
    <t>エンタープライズ バリューの割合</t>
  </si>
  <si>
    <r>
      <rPr>
        <b/>
        <sz val="15"/>
        <color theme="0" tint="-0.499984740745262"/>
        <rFont val="MS PGothic"/>
        <family val="2"/>
        <charset val="128"/>
      </rPr>
      <t>インプット</t>
    </r>
  </si>
  <si>
    <r>
      <rPr>
        <b/>
        <sz val="10"/>
        <color theme="1" tint="0.34998626667073579"/>
        <rFont val="MS PGothic"/>
        <family val="2"/>
        <charset val="128"/>
      </rPr>
      <t>注</t>
    </r>
    <r>
      <rPr>
        <sz val="10"/>
        <color theme="1" tint="0.34998626667073579"/>
        <rFont val="Century Gothic"/>
        <family val="2"/>
      </rPr>
      <t xml:space="preserve">: </t>
    </r>
    <r>
      <rPr>
        <sz val="10"/>
        <color theme="1" tint="0.34998626667073579"/>
        <rFont val="MS PGothic"/>
        <family val="2"/>
        <charset val="128"/>
      </rPr>
      <t>評価モデル全体を通して、シェーディングされていないセルのみを完成させます。網掛けされたセルには、自動的に入力される数式が含まれています。</t>
    </r>
    <r>
      <rPr>
        <sz val="10"/>
        <color theme="1" tint="0.34998626667073579"/>
        <rFont val="Century Gothic"/>
        <family val="2"/>
      </rPr>
      <t xml:space="preserve"> </t>
    </r>
  </si>
  <si>
    <r>
      <rPr>
        <sz val="9"/>
        <color theme="1"/>
        <rFont val="MS PGothic"/>
        <family val="2"/>
        <charset val="128"/>
      </rPr>
      <t>前会計年度</t>
    </r>
  </si>
  <si>
    <r>
      <rPr>
        <sz val="9"/>
        <color theme="1"/>
        <rFont val="MS PGothic"/>
        <family val="2"/>
        <charset val="128"/>
      </rPr>
      <t>法人税率</t>
    </r>
  </si>
  <si>
    <r>
      <rPr>
        <b/>
        <sz val="15"/>
        <color theme="0" tint="-0.499984740745262"/>
        <rFont val="MS PGothic"/>
        <family val="2"/>
        <charset val="128"/>
      </rPr>
      <t>割引キャッシュ</t>
    </r>
    <r>
      <rPr>
        <b/>
        <sz val="15"/>
        <color theme="0" tint="-0.499984740745262"/>
        <rFont val="Century Gothic"/>
        <family val="2"/>
      </rPr>
      <t xml:space="preserve"> </t>
    </r>
    <r>
      <rPr>
        <b/>
        <sz val="15"/>
        <color theme="0" tint="-0.499984740745262"/>
        <rFont val="MS PGothic"/>
        <family val="2"/>
        <charset val="128"/>
      </rPr>
      <t>フロー</t>
    </r>
    <r>
      <rPr>
        <b/>
        <sz val="15"/>
        <color theme="0" tint="-0.499984740745262"/>
        <rFont val="Century Gothic"/>
        <family val="2"/>
      </rPr>
      <t xml:space="preserve"> </t>
    </r>
    <r>
      <rPr>
        <sz val="15"/>
        <color theme="0" tint="-0.499984740745262"/>
        <rFont val="Century Gothic"/>
        <family val="2"/>
      </rPr>
      <t>(DCF)</t>
    </r>
  </si>
  <si>
    <r>
      <rPr>
        <b/>
        <sz val="9"/>
        <color theme="0"/>
        <rFont val="MS PGothic"/>
        <family val="2"/>
        <charset val="128"/>
      </rPr>
      <t>実績</t>
    </r>
  </si>
  <si>
    <r>
      <rPr>
        <b/>
        <sz val="9"/>
        <color theme="0"/>
        <rFont val="MS PGothic"/>
        <family val="2"/>
        <charset val="128"/>
      </rPr>
      <t>予測</t>
    </r>
    <r>
      <rPr>
        <b/>
        <sz val="9"/>
        <color theme="0"/>
        <rFont val="Century Gothic"/>
        <family val="2"/>
      </rPr>
      <t xml:space="preserve"> PD</t>
    </r>
  </si>
  <si>
    <r>
      <rPr>
        <sz val="9"/>
        <color rgb="FF4D4D4D"/>
        <rFont val="MS PGothic"/>
        <family val="2"/>
        <charset val="128"/>
      </rPr>
      <t>売上高</t>
    </r>
  </si>
  <si>
    <r>
      <rPr>
        <i/>
        <sz val="9"/>
        <color rgb="FF4D4D4D"/>
        <rFont val="MS PGothic"/>
        <family val="2"/>
        <charset val="128"/>
      </rPr>
      <t>成長、</t>
    </r>
    <r>
      <rPr>
        <i/>
        <sz val="9"/>
        <color rgb="FF4D4D4D"/>
        <rFont val="Century Gothic"/>
        <family val="2"/>
      </rPr>
      <t>%</t>
    </r>
  </si>
  <si>
    <r>
      <rPr>
        <b/>
        <sz val="9"/>
        <color rgb="FF4D4D4D"/>
        <rFont val="MS PGothic"/>
        <family val="2"/>
        <charset val="128"/>
      </rPr>
      <t>総利益</t>
    </r>
  </si>
  <si>
    <r>
      <rPr>
        <i/>
        <sz val="9"/>
        <color rgb="FF4D4D4D"/>
        <rFont val="MS PGothic"/>
        <family val="2"/>
        <charset val="128"/>
      </rPr>
      <t>余白、</t>
    </r>
    <r>
      <rPr>
        <i/>
        <sz val="9"/>
        <color rgb="FF4D4D4D"/>
        <rFont val="Century Gothic"/>
        <family val="2"/>
      </rPr>
      <t>%</t>
    </r>
  </si>
  <si>
    <r>
      <rPr>
        <i/>
        <sz val="9"/>
        <color rgb="FF4D4D4D"/>
        <rFont val="MS PGothic"/>
        <family val="2"/>
        <charset val="128"/>
      </rPr>
      <t>売上高の割合</t>
    </r>
  </si>
  <si>
    <r>
      <rPr>
        <b/>
        <sz val="9"/>
        <color rgb="FF4D4D4D"/>
        <rFont val="MS PGothic"/>
        <family val="2"/>
        <charset val="128"/>
      </rPr>
      <t>合計コスト</t>
    </r>
  </si>
  <si>
    <r>
      <rPr>
        <sz val="9"/>
        <color rgb="FF4D4D4D"/>
        <rFont val="MS PGothic"/>
        <family val="2"/>
        <charset val="128"/>
      </rPr>
      <t>減価償却</t>
    </r>
  </si>
  <si>
    <r>
      <rPr>
        <b/>
        <sz val="15"/>
        <color theme="0" tint="-0.499984740745262"/>
        <rFont val="MS PGothic"/>
        <family val="2"/>
        <charset val="128"/>
      </rPr>
      <t>ベータと資本構造</t>
    </r>
  </si>
  <si>
    <r>
      <rPr>
        <b/>
        <sz val="12"/>
        <color theme="0" tint="-0.499984740745262"/>
        <rFont val="MS PGothic"/>
        <family val="2"/>
        <charset val="128"/>
      </rPr>
      <t>比較可能な会社のアンレバード</t>
    </r>
    <r>
      <rPr>
        <b/>
        <sz val="12"/>
        <color theme="0" tint="-0.499984740745262"/>
        <rFont val="Century Gothic"/>
        <family val="2"/>
      </rPr>
      <t xml:space="preserve"> </t>
    </r>
    <r>
      <rPr>
        <b/>
        <sz val="12"/>
        <color theme="0" tint="-0.499984740745262"/>
        <rFont val="MS PGothic"/>
        <family val="2"/>
        <charset val="128"/>
      </rPr>
      <t>ベータ</t>
    </r>
  </si>
  <si>
    <r>
      <t xml:space="preserve">* </t>
    </r>
    <r>
      <rPr>
        <sz val="9"/>
        <color rgb="FF00B050"/>
        <rFont val="MS PGothic"/>
        <family val="2"/>
        <charset val="128"/>
      </rPr>
      <t>オプション</t>
    </r>
    <r>
      <rPr>
        <sz val="9"/>
        <color rgb="FF00B050"/>
        <rFont val="Century Gothic"/>
        <family val="2"/>
      </rPr>
      <t xml:space="preserve">: </t>
    </r>
    <r>
      <rPr>
        <sz val="9"/>
        <color rgb="FF00B050"/>
        <rFont val="MS PGothic"/>
        <family val="2"/>
        <charset val="128"/>
      </rPr>
      <t>出力のセクションを非表示</t>
    </r>
  </si>
  <si>
    <r>
      <rPr>
        <b/>
        <sz val="9"/>
        <color rgb="FF4D4D4D"/>
        <rFont val="MS PGothic"/>
        <family val="2"/>
        <charset val="128"/>
      </rPr>
      <t>会社</t>
    </r>
  </si>
  <si>
    <r>
      <rPr>
        <b/>
        <sz val="9"/>
        <color rgb="FF4D4D4D"/>
        <rFont val="MS PGothic"/>
        <family val="2"/>
        <charset val="128"/>
      </rPr>
      <t>レバード</t>
    </r>
    <r>
      <rPr>
        <b/>
        <sz val="9"/>
        <color rgb="FF4D4D4D"/>
        <rFont val="Century Gothic"/>
        <family val="2"/>
      </rPr>
      <t xml:space="preserve"> </t>
    </r>
    <r>
      <rPr>
        <b/>
        <sz val="9"/>
        <color rgb="FF4D4D4D"/>
        <rFont val="MS PGothic"/>
        <family val="2"/>
        <charset val="128"/>
      </rPr>
      <t>ベータ</t>
    </r>
    <r>
      <rPr>
        <b/>
        <sz val="9"/>
        <color rgb="FF4D4D4D"/>
        <rFont val="Century Gothic"/>
        <family val="2"/>
      </rPr>
      <t xml:space="preserve"> (1)</t>
    </r>
  </si>
  <si>
    <r>
      <rPr>
        <b/>
        <sz val="9"/>
        <color rgb="FF4D4D4D"/>
        <rFont val="MS PGothic"/>
        <family val="2"/>
        <charset val="128"/>
      </rPr>
      <t>負債の市場価値</t>
    </r>
    <r>
      <rPr>
        <b/>
        <sz val="9"/>
        <color rgb="FF4D4D4D"/>
        <rFont val="Century Gothic"/>
        <family val="2"/>
      </rPr>
      <t xml:space="preserve"> (2)</t>
    </r>
  </si>
  <si>
    <r>
      <rPr>
        <b/>
        <sz val="9"/>
        <color rgb="FF4D4D4D"/>
        <rFont val="MS PGothic"/>
        <family val="2"/>
        <charset val="128"/>
      </rPr>
      <t>株式の市場価値</t>
    </r>
    <r>
      <rPr>
        <b/>
        <sz val="9"/>
        <color rgb="FF4D4D4D"/>
        <rFont val="Century Gothic"/>
        <family val="2"/>
      </rPr>
      <t xml:space="preserve"> (3)</t>
    </r>
  </si>
  <si>
    <r>
      <rPr>
        <b/>
        <sz val="9"/>
        <color rgb="FF4D4D4D"/>
        <rFont val="MS PGothic"/>
        <family val="2"/>
        <charset val="128"/>
      </rPr>
      <t>負債</t>
    </r>
    <r>
      <rPr>
        <b/>
        <sz val="9"/>
        <color rgb="FF4D4D4D"/>
        <rFont val="Century Gothic"/>
        <family val="2"/>
      </rPr>
      <t>/</t>
    </r>
    <r>
      <rPr>
        <b/>
        <sz val="9"/>
        <color rgb="FF4D4D4D"/>
        <rFont val="MS PGothic"/>
        <family val="2"/>
        <charset val="128"/>
      </rPr>
      <t>株式</t>
    </r>
  </si>
  <si>
    <r>
      <rPr>
        <b/>
        <sz val="9"/>
        <color rgb="FF4D4D4D"/>
        <rFont val="MS PGothic"/>
        <family val="2"/>
        <charset val="128"/>
      </rPr>
      <t>純資産</t>
    </r>
    <r>
      <rPr>
        <b/>
        <sz val="9"/>
        <color rgb="FF4D4D4D"/>
        <rFont val="Century Gothic"/>
        <family val="2"/>
      </rPr>
      <t>/</t>
    </r>
    <r>
      <rPr>
        <b/>
        <sz val="9"/>
        <color rgb="FF4D4D4D"/>
        <rFont val="MS PGothic"/>
        <family val="2"/>
        <charset val="128"/>
      </rPr>
      <t>総資産</t>
    </r>
  </si>
  <si>
    <r>
      <rPr>
        <b/>
        <sz val="9"/>
        <color rgb="FF4D4D4D"/>
        <rFont val="MS PGothic"/>
        <family val="2"/>
        <charset val="128"/>
      </rPr>
      <t>税率</t>
    </r>
  </si>
  <si>
    <r>
      <rPr>
        <b/>
        <sz val="9"/>
        <color rgb="FF4D4D4D"/>
        <rFont val="MS PGothic"/>
        <family val="2"/>
        <charset val="128"/>
      </rPr>
      <t>アンレバード</t>
    </r>
    <r>
      <rPr>
        <b/>
        <sz val="9"/>
        <color rgb="FF4D4D4D"/>
        <rFont val="Century Gothic"/>
        <family val="2"/>
      </rPr>
      <t xml:space="preserve"> </t>
    </r>
    <r>
      <rPr>
        <b/>
        <sz val="9"/>
        <color rgb="FF4D4D4D"/>
        <rFont val="MS PGothic"/>
        <family val="2"/>
        <charset val="128"/>
      </rPr>
      <t>ベータ</t>
    </r>
    <r>
      <rPr>
        <b/>
        <sz val="9"/>
        <color rgb="FF4D4D4D"/>
        <rFont val="Century Gothic"/>
        <family val="2"/>
      </rPr>
      <t xml:space="preserve"> (4)</t>
    </r>
  </si>
  <si>
    <r>
      <t>[</t>
    </r>
    <r>
      <rPr>
        <sz val="9"/>
        <color rgb="FF4D4D4D"/>
        <rFont val="MS PGothic"/>
        <family val="2"/>
        <charset val="128"/>
      </rPr>
      <t>会社</t>
    </r>
    <r>
      <rPr>
        <sz val="9"/>
        <color rgb="FF4D4D4D"/>
        <rFont val="Century Gothic"/>
        <family val="2"/>
      </rPr>
      <t xml:space="preserve"> 1]</t>
    </r>
  </si>
  <si>
    <r>
      <t>[</t>
    </r>
    <r>
      <rPr>
        <sz val="9"/>
        <color rgb="FF4D4D4D"/>
        <rFont val="MS PGothic"/>
        <family val="2"/>
        <charset val="128"/>
      </rPr>
      <t>会社</t>
    </r>
    <r>
      <rPr>
        <sz val="9"/>
        <color rgb="FF4D4D4D"/>
        <rFont val="Century Gothic"/>
        <family val="2"/>
      </rPr>
      <t xml:space="preserve"> 2]</t>
    </r>
  </si>
  <si>
    <r>
      <t>[</t>
    </r>
    <r>
      <rPr>
        <sz val="9"/>
        <color rgb="FF4D4D4D"/>
        <rFont val="MS PGothic"/>
        <family val="2"/>
        <charset val="128"/>
      </rPr>
      <t>会社</t>
    </r>
    <r>
      <rPr>
        <sz val="9"/>
        <color rgb="FF4D4D4D"/>
        <rFont val="Century Gothic"/>
        <family val="2"/>
      </rPr>
      <t xml:space="preserve"> 3]</t>
    </r>
  </si>
  <si>
    <r>
      <t>[</t>
    </r>
    <r>
      <rPr>
        <sz val="9"/>
        <color rgb="FF4D4D4D"/>
        <rFont val="MS PGothic"/>
        <family val="2"/>
        <charset val="128"/>
      </rPr>
      <t>会社</t>
    </r>
    <r>
      <rPr>
        <sz val="9"/>
        <color rgb="FF4D4D4D"/>
        <rFont val="Century Gothic"/>
        <family val="2"/>
      </rPr>
      <t xml:space="preserve"> 4]</t>
    </r>
  </si>
  <si>
    <r>
      <t>[</t>
    </r>
    <r>
      <rPr>
        <sz val="9"/>
        <color rgb="FF4D4D4D"/>
        <rFont val="MS PGothic"/>
        <family val="2"/>
        <charset val="128"/>
      </rPr>
      <t>会社</t>
    </r>
    <r>
      <rPr>
        <sz val="9"/>
        <color rgb="FF4D4D4D"/>
        <rFont val="Century Gothic"/>
        <family val="2"/>
      </rPr>
      <t xml:space="preserve"> 5]</t>
    </r>
  </si>
  <si>
    <r>
      <rPr>
        <b/>
        <sz val="9"/>
        <color rgb="FF4D4D4D"/>
        <rFont val="MS PGothic"/>
        <family val="2"/>
        <charset val="128"/>
      </rPr>
      <t>中央値</t>
    </r>
  </si>
  <si>
    <r>
      <rPr>
        <b/>
        <sz val="9"/>
        <color rgb="FF4D4D4D"/>
        <rFont val="MS PGothic"/>
        <family val="2"/>
        <charset val="128"/>
      </rPr>
      <t>平均値</t>
    </r>
  </si>
  <si>
    <r>
      <t xml:space="preserve">(1) Bloomberg </t>
    </r>
    <r>
      <rPr>
        <sz val="9"/>
        <color rgb="FF4D4D4D"/>
        <rFont val="MS PGothic"/>
        <family val="2"/>
        <charset val="128"/>
      </rPr>
      <t>より</t>
    </r>
  </si>
  <si>
    <r>
      <t xml:space="preserve">(2) </t>
    </r>
    <r>
      <rPr>
        <sz val="9"/>
        <color rgb="FF4D4D4D"/>
        <rFont val="MS PGothic"/>
        <family val="2"/>
        <charset val="128"/>
      </rPr>
      <t>負債の簿価</t>
    </r>
  </si>
  <si>
    <r>
      <t xml:space="preserve">(3) Bloomberg </t>
    </r>
    <r>
      <rPr>
        <sz val="9"/>
        <color rgb="FF4D4D4D"/>
        <rFont val="MS PGothic"/>
        <family val="2"/>
        <charset val="128"/>
      </rPr>
      <t>より</t>
    </r>
  </si>
  <si>
    <r>
      <t xml:space="preserve">(4) </t>
    </r>
    <r>
      <rPr>
        <sz val="9"/>
        <color rgb="FF4D4D4D"/>
        <rFont val="MS PGothic"/>
        <family val="2"/>
        <charset val="128"/>
      </rPr>
      <t>アンレバード</t>
    </r>
    <r>
      <rPr>
        <sz val="9"/>
        <color rgb="FF4D4D4D"/>
        <rFont val="Century Gothic"/>
        <family val="2"/>
      </rPr>
      <t xml:space="preserve"> </t>
    </r>
    <r>
      <rPr>
        <sz val="9"/>
        <color rgb="FF4D4D4D"/>
        <rFont val="MS PGothic"/>
        <family val="2"/>
        <charset val="128"/>
      </rPr>
      <t>ベータ</t>
    </r>
    <r>
      <rPr>
        <sz val="9"/>
        <color rgb="FF4D4D4D"/>
        <rFont val="Century Gothic"/>
        <family val="2"/>
      </rPr>
      <t xml:space="preserve"> = </t>
    </r>
    <r>
      <rPr>
        <sz val="9"/>
        <color rgb="FF4D4D4D"/>
        <rFont val="MS PGothic"/>
        <family val="2"/>
        <charset val="128"/>
      </rPr>
      <t>予測レバード</t>
    </r>
    <r>
      <rPr>
        <sz val="9"/>
        <color rgb="FF4D4D4D"/>
        <rFont val="Century Gothic"/>
        <family val="2"/>
      </rPr>
      <t xml:space="preserve"> </t>
    </r>
    <r>
      <rPr>
        <sz val="9"/>
        <color rgb="FF4D4D4D"/>
        <rFont val="MS PGothic"/>
        <family val="2"/>
        <charset val="128"/>
      </rPr>
      <t>ベータ</t>
    </r>
    <r>
      <rPr>
        <sz val="9"/>
        <color rgb="FF4D4D4D"/>
        <rFont val="Century Gothic"/>
        <family val="2"/>
      </rPr>
      <t xml:space="preserve"> / (1 + </t>
    </r>
    <r>
      <rPr>
        <sz val="9"/>
        <color rgb="FF4D4D4D"/>
        <rFont val="MS PGothic"/>
        <family val="2"/>
        <charset val="128"/>
      </rPr>
      <t>負債</t>
    </r>
    <r>
      <rPr>
        <sz val="9"/>
        <color rgb="FF4D4D4D"/>
        <rFont val="Century Gothic"/>
        <family val="2"/>
      </rPr>
      <t>/</t>
    </r>
    <r>
      <rPr>
        <sz val="9"/>
        <color rgb="FF4D4D4D"/>
        <rFont val="MS PGothic"/>
        <family val="2"/>
        <charset val="128"/>
      </rPr>
      <t>株式</t>
    </r>
    <r>
      <rPr>
        <sz val="9"/>
        <color rgb="FF4D4D4D"/>
        <rFont val="Century Gothic"/>
        <family val="2"/>
      </rPr>
      <t>) x (1-t))</t>
    </r>
  </si>
  <si>
    <r>
      <rPr>
        <b/>
        <sz val="9"/>
        <color rgb="FF4D4D4D"/>
        <rFont val="MS PGothic"/>
        <family val="2"/>
        <charset val="128"/>
      </rPr>
      <t>リレバード</t>
    </r>
    <r>
      <rPr>
        <b/>
        <sz val="9"/>
        <color rgb="FF4D4D4D"/>
        <rFont val="Century Gothic"/>
        <family val="2"/>
      </rPr>
      <t xml:space="preserve"> </t>
    </r>
    <r>
      <rPr>
        <b/>
        <sz val="9"/>
        <color rgb="FF4D4D4D"/>
        <rFont val="MS PGothic"/>
        <family val="2"/>
        <charset val="128"/>
      </rPr>
      <t>ベータ</t>
    </r>
  </si>
  <si>
    <r>
      <rPr>
        <b/>
        <sz val="9"/>
        <color rgb="FF4D4D4D"/>
        <rFont val="MS PGothic"/>
        <family val="2"/>
        <charset val="128"/>
      </rPr>
      <t>平均アンレバード</t>
    </r>
    <r>
      <rPr>
        <b/>
        <sz val="9"/>
        <color rgb="FF4D4D4D"/>
        <rFont val="Century Gothic"/>
        <family val="2"/>
      </rPr>
      <t xml:space="preserve"> </t>
    </r>
    <r>
      <rPr>
        <b/>
        <sz val="9"/>
        <color rgb="FF4D4D4D"/>
        <rFont val="MS PGothic"/>
        <family val="2"/>
        <charset val="128"/>
      </rPr>
      <t>ベータ</t>
    </r>
  </si>
  <si>
    <r>
      <rPr>
        <b/>
        <sz val="9"/>
        <color rgb="FF4D4D4D"/>
        <rFont val="MS PGothic"/>
        <family val="2"/>
        <charset val="128"/>
      </rPr>
      <t>平均目標負債</t>
    </r>
    <r>
      <rPr>
        <b/>
        <sz val="9"/>
        <color rgb="FF4D4D4D"/>
        <rFont val="Century Gothic"/>
        <family val="2"/>
      </rPr>
      <t>/</t>
    </r>
    <r>
      <rPr>
        <b/>
        <sz val="9"/>
        <color rgb="FF4D4D4D"/>
        <rFont val="MS PGothic"/>
        <family val="2"/>
        <charset val="128"/>
      </rPr>
      <t>株式</t>
    </r>
  </si>
  <si>
    <r>
      <rPr>
        <b/>
        <sz val="9"/>
        <color rgb="FF4D4D4D"/>
        <rFont val="MS PGothic"/>
        <family val="2"/>
        <charset val="128"/>
      </rPr>
      <t>目標限界税率</t>
    </r>
  </si>
  <si>
    <r>
      <rPr>
        <sz val="9"/>
        <color rgb="FF4D4D4D"/>
        <rFont val="MS PGothic"/>
        <family val="2"/>
        <charset val="128"/>
      </rPr>
      <t>ターゲット企業</t>
    </r>
  </si>
  <si>
    <r>
      <t xml:space="preserve">WACC </t>
    </r>
    <r>
      <rPr>
        <b/>
        <sz val="15"/>
        <color theme="0" tint="-0.499984740745262"/>
        <rFont val="MS PGothic"/>
        <family val="2"/>
        <charset val="128"/>
      </rPr>
      <t>計算</t>
    </r>
  </si>
  <si>
    <r>
      <t xml:space="preserve">* </t>
    </r>
    <r>
      <rPr>
        <sz val="9"/>
        <color rgb="FF00B050"/>
        <rFont val="MS PGothic"/>
        <family val="2"/>
        <charset val="128"/>
      </rPr>
      <t>オプション</t>
    </r>
    <r>
      <rPr>
        <sz val="9"/>
        <color rgb="FF00B050"/>
        <rFont val="Century Gothic"/>
        <family val="2"/>
      </rPr>
      <t xml:space="preserve">: </t>
    </r>
    <r>
      <rPr>
        <sz val="9"/>
        <color rgb="FF00B050"/>
        <rFont val="MS PGothic"/>
        <family val="2"/>
        <charset val="128"/>
      </rPr>
      <t>出力のセクションを非表示</t>
    </r>
    <r>
      <rPr>
        <sz val="9"/>
        <color rgb="FF00B050"/>
        <rFont val="Century Gothic"/>
        <family val="2"/>
      </rPr>
      <t xml:space="preserve"> *</t>
    </r>
  </si>
  <si>
    <r>
      <rPr>
        <b/>
        <sz val="9"/>
        <color rgb="FF4D4D4D"/>
        <rFont val="MS PGothic"/>
        <family val="2"/>
        <charset val="128"/>
      </rPr>
      <t>目標資本構造</t>
    </r>
  </si>
  <si>
    <r>
      <rPr>
        <b/>
        <sz val="9"/>
        <color rgb="FF4D4D4D"/>
        <rFont val="MS PGothic"/>
        <family val="2"/>
        <charset val="128"/>
      </rPr>
      <t>コメント</t>
    </r>
  </si>
  <si>
    <r>
      <rPr>
        <sz val="9"/>
        <color rgb="FF4D4D4D"/>
        <rFont val="MS PGothic"/>
        <family val="2"/>
        <charset val="128"/>
      </rPr>
      <t>総資本化に対する負債</t>
    </r>
  </si>
  <si>
    <r>
      <rPr>
        <sz val="9"/>
        <color rgb="FF4D4D4D"/>
        <rFont val="MS PGothic"/>
        <family val="2"/>
        <charset val="128"/>
      </rPr>
      <t>総資本化に対する株式</t>
    </r>
  </si>
  <si>
    <r>
      <rPr>
        <sz val="9"/>
        <color rgb="FF4D4D4D"/>
        <rFont val="MS PGothic"/>
        <family val="2"/>
        <charset val="128"/>
      </rPr>
      <t>負債対株主資本比率</t>
    </r>
  </si>
  <si>
    <r>
      <rPr>
        <b/>
        <sz val="9"/>
        <color rgb="FF4D4D4D"/>
        <rFont val="MS PGothic"/>
        <family val="2"/>
        <charset val="128"/>
      </rPr>
      <t>株式コスト</t>
    </r>
  </si>
  <si>
    <r>
      <rPr>
        <sz val="9"/>
        <color rgb="FF4D4D4D"/>
        <rFont val="MS PGothic"/>
        <family val="2"/>
        <charset val="128"/>
      </rPr>
      <t>リスクフリー</t>
    </r>
    <r>
      <rPr>
        <sz val="9"/>
        <color rgb="FF4D4D4D"/>
        <rFont val="Century Gothic"/>
        <family val="2"/>
      </rPr>
      <t xml:space="preserve"> </t>
    </r>
    <r>
      <rPr>
        <sz val="9"/>
        <color rgb="FF4D4D4D"/>
        <rFont val="MS PGothic"/>
        <family val="2"/>
        <charset val="128"/>
      </rPr>
      <t>レート</t>
    </r>
    <r>
      <rPr>
        <sz val="9"/>
        <color rgb="FF4D4D4D"/>
        <rFont val="Century Gothic"/>
        <family val="2"/>
      </rPr>
      <t xml:space="preserve"> (2)</t>
    </r>
  </si>
  <si>
    <r>
      <rPr>
        <sz val="9"/>
        <color rgb="FF4D4D4D"/>
        <rFont val="MS PGothic"/>
        <family val="2"/>
        <charset val="128"/>
      </rPr>
      <t>マーケット</t>
    </r>
    <r>
      <rPr>
        <sz val="9"/>
        <color rgb="FF4D4D4D"/>
        <rFont val="Century Gothic"/>
        <family val="2"/>
      </rPr>
      <t xml:space="preserve"> </t>
    </r>
    <r>
      <rPr>
        <sz val="9"/>
        <color rgb="FF4D4D4D"/>
        <rFont val="MS PGothic"/>
        <family val="2"/>
        <charset val="128"/>
      </rPr>
      <t>リスク</t>
    </r>
    <r>
      <rPr>
        <sz val="9"/>
        <color rgb="FF4D4D4D"/>
        <rFont val="Century Gothic"/>
        <family val="2"/>
      </rPr>
      <t xml:space="preserve"> </t>
    </r>
    <r>
      <rPr>
        <sz val="9"/>
        <color rgb="FF4D4D4D"/>
        <rFont val="MS PGothic"/>
        <family val="2"/>
        <charset val="128"/>
      </rPr>
      <t>プレミアム</t>
    </r>
    <r>
      <rPr>
        <sz val="9"/>
        <color rgb="FF4D4D4D"/>
        <rFont val="Century Gothic"/>
        <family val="2"/>
      </rPr>
      <t xml:space="preserve"> (3)</t>
    </r>
  </si>
  <si>
    <r>
      <rPr>
        <sz val="9"/>
        <color rgb="FF4D4D4D"/>
        <rFont val="MS PGothic"/>
        <family val="2"/>
        <charset val="128"/>
      </rPr>
      <t>レバード</t>
    </r>
    <r>
      <rPr>
        <sz val="9"/>
        <color rgb="FF4D4D4D"/>
        <rFont val="Century Gothic"/>
        <family val="2"/>
      </rPr>
      <t xml:space="preserve"> </t>
    </r>
    <r>
      <rPr>
        <sz val="9"/>
        <color rgb="FF4D4D4D"/>
        <rFont val="MS PGothic"/>
        <family val="2"/>
        <charset val="128"/>
      </rPr>
      <t>ベータ</t>
    </r>
    <r>
      <rPr>
        <sz val="9"/>
        <color rgb="FF4D4D4D"/>
        <rFont val="Century Gothic"/>
        <family val="2"/>
      </rPr>
      <t xml:space="preserve"> (4)</t>
    </r>
  </si>
  <si>
    <r>
      <rPr>
        <sz val="9"/>
        <color rgb="FF4D4D4D"/>
        <rFont val="MS PGothic"/>
        <family val="2"/>
        <charset val="128"/>
      </rPr>
      <t>サイズ</t>
    </r>
    <r>
      <rPr>
        <sz val="9"/>
        <color rgb="FF4D4D4D"/>
        <rFont val="Century Gothic"/>
        <family val="2"/>
      </rPr>
      <t xml:space="preserve"> </t>
    </r>
    <r>
      <rPr>
        <sz val="9"/>
        <color rgb="FF4D4D4D"/>
        <rFont val="MS PGothic"/>
        <family val="2"/>
        <charset val="128"/>
      </rPr>
      <t>プレミアム</t>
    </r>
    <r>
      <rPr>
        <sz val="9"/>
        <color rgb="FF4D4D4D"/>
        <rFont val="Century Gothic"/>
        <family val="2"/>
      </rPr>
      <t xml:space="preserve"> (5)</t>
    </r>
  </si>
  <si>
    <r>
      <rPr>
        <b/>
        <sz val="9"/>
        <color rgb="FF4D4D4D"/>
        <rFont val="MS PGothic"/>
        <family val="2"/>
        <charset val="128"/>
      </rPr>
      <t>負債のコスト</t>
    </r>
  </si>
  <si>
    <r>
      <rPr>
        <sz val="9"/>
        <color rgb="FF4D4D4D"/>
        <rFont val="MS PGothic"/>
        <family val="2"/>
        <charset val="128"/>
      </rPr>
      <t>負債のコスト</t>
    </r>
  </si>
  <si>
    <r>
      <rPr>
        <sz val="9"/>
        <color rgb="FF4D4D4D"/>
        <rFont val="MS PGothic"/>
        <family val="2"/>
        <charset val="128"/>
      </rPr>
      <t>法人税率</t>
    </r>
  </si>
  <si>
    <r>
      <rPr>
        <b/>
        <sz val="9"/>
        <color rgb="FF4D4D4D"/>
        <rFont val="MS PGothic"/>
        <family val="2"/>
        <charset val="128"/>
      </rPr>
      <t>負債の税引き後コスト</t>
    </r>
  </si>
  <si>
    <r>
      <t xml:space="preserve">DCF </t>
    </r>
    <r>
      <rPr>
        <b/>
        <i/>
        <sz val="15"/>
        <color theme="0" tint="-0.499984740745262"/>
        <rFont val="MS PGothic"/>
        <family val="2"/>
        <charset val="128"/>
      </rPr>
      <t>継続中</t>
    </r>
    <r>
      <rPr>
        <b/>
        <i/>
        <sz val="15"/>
        <color theme="0" tint="-0.499984740745262"/>
        <rFont val="Century Gothic"/>
        <family val="2"/>
      </rPr>
      <t>...</t>
    </r>
  </si>
  <si>
    <r>
      <rPr>
        <sz val="9"/>
        <color rgb="FF4D4D4D"/>
        <rFont val="MS PGothic"/>
        <family val="2"/>
        <charset val="128"/>
      </rPr>
      <t>消費税</t>
    </r>
  </si>
  <si>
    <r>
      <rPr>
        <sz val="9"/>
        <color rgb="FF4D4D4D"/>
        <rFont val="MS PGothic"/>
        <family val="2"/>
        <charset val="128"/>
      </rPr>
      <t>純稼働資本</t>
    </r>
  </si>
  <si>
    <r>
      <t xml:space="preserve">NWC </t>
    </r>
    <r>
      <rPr>
        <sz val="9"/>
        <color rgb="FF4D4D4D"/>
        <rFont val="MS PGothic"/>
        <family val="2"/>
        <charset val="128"/>
      </rPr>
      <t>の増減</t>
    </r>
  </si>
  <si>
    <r>
      <rPr>
        <b/>
        <sz val="9"/>
        <color rgb="FF4D4D4D"/>
        <rFont val="MS PGothic"/>
        <family val="2"/>
        <charset val="128"/>
      </rPr>
      <t>アンレバード</t>
    </r>
    <r>
      <rPr>
        <b/>
        <sz val="9"/>
        <color rgb="FF4D4D4D"/>
        <rFont val="Century Gothic"/>
        <family val="2"/>
      </rPr>
      <t xml:space="preserve"> </t>
    </r>
    <r>
      <rPr>
        <b/>
        <sz val="9"/>
        <color rgb="FF4D4D4D"/>
        <rFont val="MS PGothic"/>
        <family val="2"/>
        <charset val="128"/>
      </rPr>
      <t>フリー</t>
    </r>
    <r>
      <rPr>
        <b/>
        <sz val="9"/>
        <color rgb="FF4D4D4D"/>
        <rFont val="Century Gothic"/>
        <family val="2"/>
      </rPr>
      <t xml:space="preserve"> </t>
    </r>
    <r>
      <rPr>
        <b/>
        <sz val="9"/>
        <color rgb="FF4D4D4D"/>
        <rFont val="MS PGothic"/>
        <family val="2"/>
        <charset val="128"/>
      </rPr>
      <t>キャッシュ</t>
    </r>
    <r>
      <rPr>
        <b/>
        <sz val="9"/>
        <color rgb="FF4D4D4D"/>
        <rFont val="Century Gothic"/>
        <family val="2"/>
      </rPr>
      <t xml:space="preserve"> </t>
    </r>
    <r>
      <rPr>
        <b/>
        <sz val="9"/>
        <color rgb="FF4D4D4D"/>
        <rFont val="MS PGothic"/>
        <family val="2"/>
        <charset val="128"/>
      </rPr>
      <t>フロー</t>
    </r>
  </si>
  <si>
    <r>
      <rPr>
        <sz val="9"/>
        <color rgb="FF4D4D4D"/>
        <rFont val="MS PGothic"/>
        <family val="2"/>
        <charset val="128"/>
      </rPr>
      <t>割引期間</t>
    </r>
  </si>
  <si>
    <r>
      <rPr>
        <sz val="9"/>
        <color rgb="FF4D4D4D"/>
        <rFont val="MS PGothic"/>
        <family val="2"/>
        <charset val="128"/>
      </rPr>
      <t>ディスカウント</t>
    </r>
    <r>
      <rPr>
        <sz val="9"/>
        <color rgb="FF4D4D4D"/>
        <rFont val="Century Gothic"/>
        <family val="2"/>
      </rPr>
      <t xml:space="preserve"> </t>
    </r>
    <r>
      <rPr>
        <sz val="9"/>
        <color rgb="FF4D4D4D"/>
        <rFont val="MS PGothic"/>
        <family val="2"/>
        <charset val="128"/>
      </rPr>
      <t>ファクター</t>
    </r>
  </si>
  <si>
    <r>
      <rPr>
        <b/>
        <sz val="9"/>
        <color rgb="FF4D4D4D"/>
        <rFont val="MS PGothic"/>
        <family val="2"/>
        <charset val="128"/>
      </rPr>
      <t>フリー</t>
    </r>
    <r>
      <rPr>
        <b/>
        <sz val="9"/>
        <color rgb="FF4D4D4D"/>
        <rFont val="Century Gothic"/>
        <family val="2"/>
      </rPr>
      <t xml:space="preserve"> </t>
    </r>
    <r>
      <rPr>
        <b/>
        <sz val="9"/>
        <color rgb="FF4D4D4D"/>
        <rFont val="MS PGothic"/>
        <family val="2"/>
        <charset val="128"/>
      </rPr>
      <t>キャッシュ</t>
    </r>
    <r>
      <rPr>
        <b/>
        <sz val="9"/>
        <color rgb="FF4D4D4D"/>
        <rFont val="Century Gothic"/>
        <family val="2"/>
      </rPr>
      <t xml:space="preserve"> </t>
    </r>
    <r>
      <rPr>
        <b/>
        <sz val="9"/>
        <color rgb="FF4D4D4D"/>
        <rFont val="MS PGothic"/>
        <family val="2"/>
        <charset val="128"/>
      </rPr>
      <t>フローの現在価値</t>
    </r>
  </si>
  <si>
    <r>
      <t xml:space="preserve">DCF </t>
    </r>
    <r>
      <rPr>
        <b/>
        <sz val="9"/>
        <color theme="1"/>
        <rFont val="MS PGothic"/>
        <family val="2"/>
        <charset val="128"/>
      </rPr>
      <t>評価</t>
    </r>
  </si>
  <si>
    <r>
      <rPr>
        <b/>
        <sz val="9"/>
        <color rgb="FF4D4D4D"/>
        <rFont val="MS PGothic"/>
        <family val="2"/>
        <charset val="128"/>
      </rPr>
      <t>インプライド</t>
    </r>
    <r>
      <rPr>
        <b/>
        <sz val="9"/>
        <color rgb="FF4D4D4D"/>
        <rFont val="Century Gothic"/>
        <family val="2"/>
      </rPr>
      <t xml:space="preserve"> </t>
    </r>
    <r>
      <rPr>
        <b/>
        <sz val="9"/>
        <color rgb="FF4D4D4D"/>
        <rFont val="MS PGothic"/>
        <family val="2"/>
        <charset val="128"/>
      </rPr>
      <t>マルチプル</t>
    </r>
  </si>
  <si>
    <r>
      <rPr>
        <b/>
        <sz val="9"/>
        <color rgb="FF4D4D4D"/>
        <rFont val="MS PGothic"/>
        <family val="2"/>
        <charset val="128"/>
      </rPr>
      <t>エンタープライズ</t>
    </r>
    <r>
      <rPr>
        <b/>
        <sz val="9"/>
        <color rgb="FF4D4D4D"/>
        <rFont val="Century Gothic"/>
        <family val="2"/>
      </rPr>
      <t xml:space="preserve"> </t>
    </r>
    <r>
      <rPr>
        <b/>
        <sz val="9"/>
        <color rgb="FF4D4D4D"/>
        <rFont val="MS PGothic"/>
        <family val="2"/>
        <charset val="128"/>
      </rPr>
      <t>バリュー</t>
    </r>
    <r>
      <rPr>
        <b/>
        <sz val="9"/>
        <color rgb="FF4D4D4D"/>
        <rFont val="Century Gothic"/>
        <family val="2"/>
      </rPr>
      <t xml:space="preserve"> ("EV")</t>
    </r>
  </si>
  <si>
    <r>
      <rPr>
        <sz val="9"/>
        <color rgb="FF4D4D4D"/>
        <rFont val="MS PGothic"/>
        <family val="2"/>
        <charset val="128"/>
      </rPr>
      <t>セールス</t>
    </r>
  </si>
  <si>
    <r>
      <rPr>
        <sz val="9"/>
        <color rgb="FF4D4D4D"/>
        <rFont val="MS PGothic"/>
        <family val="2"/>
        <charset val="128"/>
      </rPr>
      <t>マイナス</t>
    </r>
    <r>
      <rPr>
        <sz val="9"/>
        <color rgb="FF4D4D4D"/>
        <rFont val="Century Gothic"/>
        <family val="2"/>
      </rPr>
      <t xml:space="preserve">: </t>
    </r>
    <r>
      <rPr>
        <sz val="9"/>
        <color rgb="FF4D4D4D"/>
        <rFont val="MS PGothic"/>
        <family val="2"/>
        <charset val="128"/>
      </rPr>
      <t>負債合計</t>
    </r>
  </si>
  <si>
    <r>
      <t xml:space="preserve">* </t>
    </r>
    <r>
      <rPr>
        <sz val="9"/>
        <color rgb="FF00B050"/>
        <rFont val="MS PGothic"/>
        <family val="2"/>
        <charset val="128"/>
      </rPr>
      <t>出力時に行を非表示にする</t>
    </r>
    <r>
      <rPr>
        <sz val="9"/>
        <color rgb="FF00B050"/>
        <rFont val="Century Gothic"/>
        <family val="2"/>
      </rPr>
      <t xml:space="preserve"> *</t>
    </r>
  </si>
  <si>
    <r>
      <rPr>
        <sz val="9"/>
        <color rgb="FF4D4D4D"/>
        <rFont val="MS PGothic"/>
        <family val="2"/>
        <charset val="128"/>
      </rPr>
      <t>プラス</t>
    </r>
    <r>
      <rPr>
        <sz val="9"/>
        <color rgb="FF4D4D4D"/>
        <rFont val="Century Gothic"/>
        <family val="2"/>
      </rPr>
      <t xml:space="preserve">: </t>
    </r>
    <r>
      <rPr>
        <sz val="9"/>
        <color rgb="FF4D4D4D"/>
        <rFont val="MS PGothic"/>
        <family val="2"/>
        <charset val="128"/>
      </rPr>
      <t>現金および現金同等物</t>
    </r>
  </si>
  <si>
    <r>
      <rPr>
        <sz val="9"/>
        <color rgb="FF4D4D4D"/>
        <rFont val="MS PGothic"/>
        <family val="2"/>
        <charset val="128"/>
      </rPr>
      <t>純負債</t>
    </r>
    <r>
      <rPr>
        <sz val="9"/>
        <color rgb="FF4D4D4D"/>
        <rFont val="Century Gothic"/>
        <family val="2"/>
      </rPr>
      <t xml:space="preserve"> </t>
    </r>
    <r>
      <rPr>
        <i/>
        <sz val="8"/>
        <color rgb="FF4D4D4D"/>
        <rFont val="MS PGothic"/>
        <family val="2"/>
        <charset val="128"/>
      </rPr>
      <t>負数は純現金持高に等しい</t>
    </r>
  </si>
  <si>
    <r>
      <rPr>
        <sz val="9"/>
        <color rgb="FF4D4D4D"/>
        <rFont val="MS PGothic"/>
        <family val="2"/>
        <charset val="128"/>
      </rPr>
      <t>株式価値</t>
    </r>
    <r>
      <rPr>
        <sz val="9"/>
        <color rgb="FF4D4D4D"/>
        <rFont val="Century Gothic"/>
        <family val="2"/>
      </rPr>
      <t xml:space="preserve"> </t>
    </r>
    <r>
      <rPr>
        <i/>
        <sz val="8"/>
        <color rgb="FF4D4D4D"/>
        <rFont val="MS PGothic"/>
        <family val="2"/>
        <charset val="128"/>
      </rPr>
      <t>時価総額</t>
    </r>
  </si>
  <si>
    <r>
      <rPr>
        <sz val="9"/>
        <color rgb="FF4D4D4D"/>
        <rFont val="MS PGothic"/>
        <family val="2"/>
        <charset val="128"/>
      </rPr>
      <t>発行済株式数</t>
    </r>
  </si>
  <si>
    <r>
      <t xml:space="preserve">1 </t>
    </r>
    <r>
      <rPr>
        <sz val="9"/>
        <color rgb="FF4D4D4D"/>
        <rFont val="MS PGothic"/>
        <family val="2"/>
        <charset val="128"/>
      </rPr>
      <t>株あたりの価格</t>
    </r>
  </si>
  <si>
    <r>
      <rPr>
        <b/>
        <sz val="9"/>
        <color rgb="FF4D4D4D"/>
        <rFont val="MS PGothic"/>
        <family val="2"/>
        <charset val="128"/>
      </rPr>
      <t>ターミナル</t>
    </r>
    <r>
      <rPr>
        <b/>
        <sz val="9"/>
        <color rgb="FF4D4D4D"/>
        <rFont val="Century Gothic"/>
        <family val="2"/>
      </rPr>
      <t xml:space="preserve"> </t>
    </r>
    <r>
      <rPr>
        <b/>
        <sz val="9"/>
        <color rgb="FF4D4D4D"/>
        <rFont val="MS PGothic"/>
        <family val="2"/>
        <charset val="128"/>
      </rPr>
      <t>バリュー</t>
    </r>
  </si>
  <si>
    <r>
      <rPr>
        <sz val="9"/>
        <color rgb="FF4D4D4D"/>
        <rFont val="MS PGothic"/>
        <family val="2"/>
        <charset val="128"/>
      </rPr>
      <t>ターミナル</t>
    </r>
    <r>
      <rPr>
        <sz val="9"/>
        <color rgb="FF4D4D4D"/>
        <rFont val="Century Gothic"/>
        <family val="2"/>
      </rPr>
      <t xml:space="preserve"> </t>
    </r>
    <r>
      <rPr>
        <sz val="9"/>
        <color rgb="FF4D4D4D"/>
        <rFont val="MS PGothic"/>
        <family val="2"/>
        <charset val="128"/>
      </rPr>
      <t>イヤー</t>
    </r>
    <r>
      <rPr>
        <sz val="9"/>
        <color rgb="FF4D4D4D"/>
        <rFont val="Century Gothic"/>
        <family val="2"/>
      </rPr>
      <t xml:space="preserve"> </t>
    </r>
    <r>
      <rPr>
        <sz val="9"/>
        <color rgb="FF4D4D4D"/>
        <rFont val="MS PGothic"/>
        <family val="2"/>
        <charset val="128"/>
      </rPr>
      <t>フリー</t>
    </r>
    <r>
      <rPr>
        <sz val="9"/>
        <color rgb="FF4D4D4D"/>
        <rFont val="Century Gothic"/>
        <family val="2"/>
      </rPr>
      <t xml:space="preserve"> </t>
    </r>
    <r>
      <rPr>
        <sz val="9"/>
        <color rgb="FF4D4D4D"/>
        <rFont val="MS PGothic"/>
        <family val="2"/>
        <charset val="128"/>
      </rPr>
      <t>キャッシュ</t>
    </r>
    <r>
      <rPr>
        <sz val="9"/>
        <color rgb="FF4D4D4D"/>
        <rFont val="Century Gothic"/>
        <family val="2"/>
      </rPr>
      <t xml:space="preserve"> </t>
    </r>
    <r>
      <rPr>
        <sz val="9"/>
        <color rgb="FF4D4D4D"/>
        <rFont val="MS PGothic"/>
        <family val="2"/>
        <charset val="128"/>
      </rPr>
      <t>フロー</t>
    </r>
  </si>
  <si>
    <r>
      <rPr>
        <sz val="9"/>
        <color rgb="FF4D4D4D"/>
        <rFont val="MS PGothic"/>
        <family val="2"/>
        <charset val="128"/>
      </rPr>
      <t>永続成長率</t>
    </r>
  </si>
  <si>
    <r>
      <rPr>
        <sz val="9"/>
        <color rgb="FF4D4D4D"/>
        <rFont val="MS PGothic"/>
        <family val="2"/>
        <charset val="128"/>
      </rPr>
      <t>ターミナル</t>
    </r>
    <r>
      <rPr>
        <sz val="9"/>
        <color rgb="FF4D4D4D"/>
        <rFont val="Century Gothic"/>
        <family val="2"/>
      </rPr>
      <t xml:space="preserve"> </t>
    </r>
    <r>
      <rPr>
        <sz val="9"/>
        <color rgb="FF4D4D4D"/>
        <rFont val="MS PGothic"/>
        <family val="2"/>
        <charset val="128"/>
      </rPr>
      <t>イヤー</t>
    </r>
    <r>
      <rPr>
        <sz val="9"/>
        <color rgb="FF4D4D4D"/>
        <rFont val="Century Gothic"/>
        <family val="2"/>
      </rPr>
      <t xml:space="preserve"> EBITDA</t>
    </r>
  </si>
  <si>
    <r>
      <rPr>
        <sz val="9"/>
        <color rgb="FF4D4D4D"/>
        <rFont val="MS PGothic"/>
        <family val="2"/>
        <charset val="128"/>
      </rPr>
      <t>ターミナル</t>
    </r>
    <r>
      <rPr>
        <sz val="9"/>
        <color rgb="FF4D4D4D"/>
        <rFont val="Century Gothic"/>
        <family val="2"/>
      </rPr>
      <t xml:space="preserve"> </t>
    </r>
    <r>
      <rPr>
        <sz val="9"/>
        <color rgb="FF4D4D4D"/>
        <rFont val="MS PGothic"/>
        <family val="2"/>
        <charset val="128"/>
      </rPr>
      <t>バリュー</t>
    </r>
  </si>
  <si>
    <r>
      <rPr>
        <i/>
        <sz val="9"/>
        <color rgb="FF4D4D4D"/>
        <rFont val="MS PGothic"/>
        <family val="2"/>
        <charset val="128"/>
      </rPr>
      <t>インプライド</t>
    </r>
    <r>
      <rPr>
        <i/>
        <sz val="9"/>
        <color rgb="FF4D4D4D"/>
        <rFont val="Century Gothic"/>
        <family val="2"/>
      </rPr>
      <t>EXIT</t>
    </r>
    <r>
      <rPr>
        <i/>
        <sz val="9"/>
        <color rgb="FF4D4D4D"/>
        <rFont val="MS PGothic"/>
        <family val="2"/>
        <charset val="128"/>
      </rPr>
      <t>マルチプル</t>
    </r>
  </si>
  <si>
    <r>
      <rPr>
        <b/>
        <sz val="9"/>
        <color rgb="FF4D4D4D"/>
        <rFont val="MS PGothic"/>
        <family val="2"/>
        <charset val="128"/>
      </rPr>
      <t>ターミナル</t>
    </r>
    <r>
      <rPr>
        <b/>
        <sz val="9"/>
        <color rgb="FF4D4D4D"/>
        <rFont val="Century Gothic"/>
        <family val="2"/>
      </rPr>
      <t xml:space="preserve"> </t>
    </r>
    <r>
      <rPr>
        <b/>
        <sz val="9"/>
        <color rgb="FF4D4D4D"/>
        <rFont val="MS PGothic"/>
        <family val="2"/>
        <charset val="128"/>
      </rPr>
      <t>バリューの現在価値</t>
    </r>
  </si>
  <si>
    <r>
      <rPr>
        <i/>
        <sz val="9"/>
        <color rgb="FF4D4D4D"/>
        <rFont val="MS PGothic"/>
        <family val="2"/>
        <charset val="128"/>
      </rPr>
      <t>エンタープライズ</t>
    </r>
    <r>
      <rPr>
        <i/>
        <sz val="9"/>
        <color rgb="FF4D4D4D"/>
        <rFont val="Century Gothic"/>
        <family val="2"/>
      </rPr>
      <t xml:space="preserve"> </t>
    </r>
    <r>
      <rPr>
        <i/>
        <sz val="9"/>
        <color rgb="FF4D4D4D"/>
        <rFont val="MS PGothic"/>
        <family val="2"/>
        <charset val="128"/>
      </rPr>
      <t>バリューの割合</t>
    </r>
  </si>
  <si>
    <r>
      <rPr>
        <b/>
        <sz val="20"/>
        <color theme="0" tint="-0.499984740745262"/>
        <rFont val="MS PGothic"/>
        <family val="2"/>
        <charset val="128"/>
      </rPr>
      <t>割引キャッシュ</t>
    </r>
    <r>
      <rPr>
        <b/>
        <sz val="20"/>
        <color theme="0" tint="-0.499984740745262"/>
        <rFont val="Century Gothic"/>
        <family val="2"/>
      </rPr>
      <t xml:space="preserve"> </t>
    </r>
    <r>
      <rPr>
        <b/>
        <sz val="20"/>
        <color theme="0" tint="-0.499984740745262"/>
        <rFont val="MS PGothic"/>
        <family val="2"/>
        <charset val="128"/>
      </rPr>
      <t>フロー</t>
    </r>
    <r>
      <rPr>
        <b/>
        <sz val="20"/>
        <color theme="0" tint="-0.499984740745262"/>
        <rFont val="Century Gothic"/>
        <family val="2"/>
      </rPr>
      <t xml:space="preserve"> (DCF) </t>
    </r>
    <r>
      <rPr>
        <b/>
        <sz val="20"/>
        <color theme="0" tint="-0.499984740745262"/>
        <rFont val="MS PGothic"/>
        <family val="2"/>
        <charset val="128"/>
      </rPr>
      <t>評価モデル</t>
    </r>
    <phoneticPr fontId="39" type="noConversion"/>
  </si>
  <si>
    <r>
      <rPr>
        <b/>
        <sz val="10"/>
        <color theme="1" tint="0.34998626667073579"/>
        <rFont val="MS PGothic"/>
        <family val="2"/>
        <charset val="128"/>
      </rPr>
      <t>注</t>
    </r>
    <r>
      <rPr>
        <sz val="10"/>
        <color theme="1" tint="0.34998626667073579"/>
        <rFont val="Century Gothic"/>
        <family val="2"/>
      </rPr>
      <t xml:space="preserve">: </t>
    </r>
    <r>
      <rPr>
        <sz val="10"/>
        <color theme="1" tint="0.34998626667073579"/>
        <rFont val="MS PGothic"/>
        <family val="2"/>
        <charset val="128"/>
      </rPr>
      <t>評価モデル全体を通して、シェーディングされていないセルのみを完成させます</t>
    </r>
    <r>
      <rPr>
        <sz val="10"/>
        <color theme="1" tint="0.34998626667073579"/>
        <rFont val="Century Gothic"/>
        <family val="2"/>
      </rPr>
      <t xml:space="preserve"> (</t>
    </r>
    <r>
      <rPr>
        <sz val="10"/>
        <color theme="1" tint="0.34998626667073579"/>
        <rFont val="MS PGothic"/>
        <family val="2"/>
        <charset val="128"/>
      </rPr>
      <t>プレースホルダーは</t>
    </r>
    <r>
      <rPr>
        <sz val="10"/>
        <color theme="1" tint="0.34998626667073579"/>
        <rFont val="Century Gothic"/>
        <family val="2"/>
      </rPr>
      <t xml:space="preserve"> "1" </t>
    </r>
    <r>
      <rPr>
        <sz val="10"/>
        <color theme="1" tint="0.34998626667073579"/>
        <rFont val="MS PGothic"/>
        <family val="2"/>
        <charset val="128"/>
      </rPr>
      <t>に設定</t>
    </r>
    <r>
      <rPr>
        <sz val="10"/>
        <color theme="1" tint="0.34998626667073579"/>
        <rFont val="Century Gothic"/>
        <family val="2"/>
      </rPr>
      <t>)</t>
    </r>
    <r>
      <rPr>
        <sz val="10"/>
        <color theme="1" tint="0.34998626667073579"/>
        <rFont val="MS PGothic"/>
        <family val="2"/>
        <charset val="128"/>
      </rPr>
      <t>。網掛けされたセルには、自動的に入力される数式が含まれています。</t>
    </r>
    <r>
      <rPr>
        <sz val="10"/>
        <color theme="1" tint="0.34998626667073579"/>
        <rFont val="Century Gothic"/>
        <family val="2"/>
      </rPr>
      <t xml:space="preserve"> </t>
    </r>
    <phoneticPr fontId="39" type="noConversion"/>
  </si>
  <si>
    <r>
      <rPr>
        <sz val="9"/>
        <color rgb="FF4D4D4D"/>
        <rFont val="MS PGothic"/>
        <family val="2"/>
        <charset val="128"/>
      </rPr>
      <t>消費税</t>
    </r>
    <r>
      <rPr>
        <sz val="9"/>
        <color rgb="FF4D4D4D"/>
        <rFont val="Century Gothic"/>
        <family val="2"/>
      </rPr>
      <t xml:space="preserve"> </t>
    </r>
  </si>
  <si>
    <r>
      <t xml:space="preserve">* </t>
    </r>
    <r>
      <rPr>
        <sz val="9"/>
        <color rgb="FF00B050"/>
        <rFont val="MS PGothic"/>
        <family val="2"/>
        <charset val="128"/>
      </rPr>
      <t>出力時に行を非表示にする</t>
    </r>
    <r>
      <rPr>
        <sz val="9"/>
        <color rgb="FF00B050"/>
        <rFont val="Century Gothic"/>
        <family val="2"/>
      </rPr>
      <t xml:space="preserve"> *</t>
    </r>
    <phoneticPr fontId="39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</si>
  <si>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39" type="noConversion"/>
  </si>
  <si>
    <t>ここをクリックして Smartsheet で作成</t>
  </si>
  <si>
    <r>
      <rPr>
        <b/>
        <sz val="24"/>
        <color theme="0" tint="-0.499984740745262"/>
        <rFont val="MS PGothic"/>
        <family val="2"/>
        <charset val="128"/>
      </rPr>
      <t>割引キャッシュ</t>
    </r>
    <r>
      <rPr>
        <b/>
        <sz val="24"/>
        <color theme="0" tint="-0.499984740745262"/>
        <rFont val="Century Gothic"/>
        <family val="2"/>
      </rPr>
      <t xml:space="preserve"> </t>
    </r>
    <r>
      <rPr>
        <b/>
        <sz val="24"/>
        <color theme="0" tint="-0.499984740745262"/>
        <rFont val="MS PGothic"/>
        <family val="2"/>
        <charset val="128"/>
      </rPr>
      <t>フロー</t>
    </r>
    <r>
      <rPr>
        <b/>
        <sz val="24"/>
        <color theme="0" tint="-0.499984740745262"/>
        <rFont val="Century Gothic"/>
        <family val="2"/>
      </rPr>
      <t xml:space="preserve"> (DCF) </t>
    </r>
    <r>
      <rPr>
        <b/>
        <sz val="24"/>
        <color theme="0" tint="-0.499984740745262"/>
        <rFont val="MS PGothic"/>
        <family val="2"/>
        <charset val="128"/>
      </rPr>
      <t>評価モデル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</si>
</sst>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%"/>
    <numFmt numFmtId="165" formatCode="#,##0.0"/>
    <numFmt numFmtId="166" formatCode="#,##0.0\x"/>
    <numFmt numFmtId="167" formatCode="0.0\x"/>
    <numFmt numFmtId="168" formatCode="0\A"/>
    <numFmt numFmtId="169" formatCode="0&quot;E&quot;"/>
  </numFmts>
  <fonts count="75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sz val="9"/>
      <color rgb="FF4D4D4D"/>
      <name val="Arial"/>
      <family val="2"/>
    </font>
    <font>
      <b/>
      <sz val="9"/>
      <color rgb="FF4D4D4D"/>
      <name val="Arial"/>
      <family val="2"/>
    </font>
    <font>
      <sz val="11"/>
      <color theme="1"/>
      <name val="Arial"/>
      <family val="2"/>
    </font>
    <font>
      <sz val="10"/>
      <color rgb="FF4D4D4D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entury Gothic"/>
      <family val="1"/>
    </font>
    <font>
      <b/>
      <sz val="9"/>
      <color theme="0"/>
      <name val="Century Gothic"/>
      <family val="1"/>
    </font>
    <font>
      <sz val="9"/>
      <color rgb="FF4D4D4D"/>
      <name val="Century Gothic"/>
      <family val="1"/>
    </font>
    <font>
      <i/>
      <sz val="9"/>
      <color rgb="FF4D4D4D"/>
      <name val="Century Gothic"/>
      <family val="1"/>
    </font>
    <font>
      <b/>
      <sz val="9"/>
      <color rgb="FF4D4D4D"/>
      <name val="Century Gothic"/>
      <family val="1"/>
    </font>
    <font>
      <i/>
      <sz val="9"/>
      <color theme="1"/>
      <name val="Century Gothic"/>
      <family val="1"/>
    </font>
    <font>
      <sz val="9"/>
      <color theme="0"/>
      <name val="Century Gothic"/>
      <family val="1"/>
    </font>
    <font>
      <sz val="9"/>
      <color theme="3"/>
      <name val="Century Gothic"/>
      <family val="1"/>
    </font>
    <font>
      <sz val="9"/>
      <color rgb="FF048EB0"/>
      <name val="Century Gothic"/>
      <family val="1"/>
    </font>
    <font>
      <b/>
      <sz val="9"/>
      <color theme="2"/>
      <name val="Century Gothic"/>
      <family val="1"/>
    </font>
    <font>
      <b/>
      <sz val="9"/>
      <color theme="1"/>
      <name val="Century Gothic"/>
      <family val="1"/>
    </font>
    <font>
      <b/>
      <sz val="9"/>
      <color theme="3"/>
      <name val="Century Gothic"/>
      <family val="1"/>
    </font>
    <font>
      <sz val="9"/>
      <color theme="1" tint="0.34998626667073579"/>
      <name val="Century Gothic"/>
      <family val="1"/>
    </font>
    <font>
      <sz val="2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theme="0" tint="-0.499984740745262"/>
      <name val="MS PGothic"/>
      <family val="2"/>
      <charset val="128"/>
    </font>
    <font>
      <b/>
      <sz val="15"/>
      <color theme="0" tint="-0.499984740745262"/>
      <name val="MS PGothic"/>
      <family val="2"/>
      <charset val="128"/>
    </font>
    <font>
      <b/>
      <sz val="9"/>
      <color rgb="FF4D4D4D"/>
      <name val="MS PGothic"/>
      <family val="2"/>
      <charset val="128"/>
    </font>
    <font>
      <sz val="9"/>
      <color rgb="FF4D4D4D"/>
      <name val="MS PGothic"/>
      <family val="2"/>
      <charset val="128"/>
    </font>
    <font>
      <sz val="10"/>
      <color theme="1" tint="0.34998626667073579"/>
      <name val="MS PGothic"/>
      <family val="2"/>
      <charset val="128"/>
    </font>
    <font>
      <b/>
      <sz val="10"/>
      <color theme="1" tint="0.34998626667073579"/>
      <name val="MS PGothic"/>
      <family val="2"/>
      <charset val="128"/>
    </font>
    <font>
      <sz val="9"/>
      <color theme="1"/>
      <name val="MS PGothic"/>
      <family val="2"/>
      <charset val="128"/>
    </font>
    <font>
      <b/>
      <sz val="9"/>
      <color theme="0"/>
      <name val="MS PGothic"/>
      <family val="2"/>
      <charset val="128"/>
    </font>
    <font>
      <i/>
      <sz val="9"/>
      <color rgb="FF4D4D4D"/>
      <name val="MS PGothic"/>
      <family val="2"/>
      <charset val="128"/>
    </font>
    <font>
      <b/>
      <sz val="12"/>
      <color theme="0" tint="-0.499984740745262"/>
      <name val="MS PGothic"/>
      <family val="2"/>
      <charset val="128"/>
    </font>
    <font>
      <sz val="9"/>
      <color rgb="FF00B050"/>
      <name val="MS PGothic"/>
      <family val="2"/>
      <charset val="128"/>
    </font>
    <font>
      <b/>
      <i/>
      <sz val="15"/>
      <color theme="0" tint="-0.499984740745262"/>
      <name val="MS PGothic"/>
      <family val="2"/>
      <charset val="128"/>
    </font>
    <font>
      <b/>
      <sz val="9"/>
      <color theme="1"/>
      <name val="MS PGothic"/>
      <family val="2"/>
      <charset val="128"/>
    </font>
    <font>
      <i/>
      <sz val="8"/>
      <color rgb="FF4D4D4D"/>
      <name val="MS PGothic"/>
      <family val="2"/>
      <charset val="128"/>
    </font>
    <font>
      <sz val="9"/>
      <name val="Calibri"/>
      <family val="3"/>
      <charset val="134"/>
      <scheme val="minor"/>
    </font>
    <font>
      <b/>
      <sz val="20"/>
      <color theme="0" tint="-0.499984740745262"/>
      <name val="Century Gothic"/>
      <family val="2"/>
    </font>
    <font>
      <b/>
      <sz val="20"/>
      <color theme="0" tint="-0.34998626667073579"/>
      <name val="Century Gothic"/>
      <family val="2"/>
    </font>
    <font>
      <sz val="22"/>
      <color theme="1"/>
      <name val="Century Gothic"/>
      <family val="2"/>
    </font>
    <font>
      <b/>
      <sz val="15"/>
      <color theme="0" tint="-0.499984740745262"/>
      <name val="Century Gothic"/>
      <family val="2"/>
    </font>
    <font>
      <b/>
      <sz val="9"/>
      <color rgb="FF4D4D4D"/>
      <name val="Century Gothic"/>
      <family val="2"/>
    </font>
    <font>
      <sz val="10"/>
      <color rgb="FF4D4D4D"/>
      <name val="Century Gothic"/>
      <family val="2"/>
    </font>
    <font>
      <sz val="9"/>
      <color rgb="FF4D4D4D"/>
      <name val="Century Gothic"/>
      <family val="2"/>
    </font>
    <font>
      <sz val="10"/>
      <color theme="1" tint="0.34998626667073579"/>
      <name val="Century Gothic"/>
      <family val="2"/>
    </font>
    <font>
      <sz val="9"/>
      <color theme="1"/>
      <name val="Century Gothic"/>
      <family val="2"/>
    </font>
    <font>
      <sz val="11"/>
      <color theme="1"/>
      <name val="Century Gothic"/>
      <family val="2"/>
    </font>
    <font>
      <sz val="9"/>
      <color rgb="FF000000"/>
      <name val="Century Gothic"/>
      <family val="2"/>
    </font>
    <font>
      <sz val="15"/>
      <color theme="0" tint="-0.499984740745262"/>
      <name val="Century Gothic"/>
      <family val="2"/>
    </font>
    <font>
      <b/>
      <sz val="9"/>
      <color theme="0"/>
      <name val="Century Gothic"/>
      <family val="2"/>
    </font>
    <font>
      <b/>
      <u/>
      <sz val="9"/>
      <color theme="0"/>
      <name val="Century Gothic"/>
      <family val="2"/>
    </font>
    <font>
      <i/>
      <sz val="9"/>
      <color rgb="FF4D4D4D"/>
      <name val="Century Gothic"/>
      <family val="2"/>
    </font>
    <font>
      <i/>
      <sz val="9"/>
      <color theme="1" tint="0.34998626667073579"/>
      <name val="Century Gothic"/>
      <family val="2"/>
    </font>
    <font>
      <b/>
      <i/>
      <sz val="9"/>
      <color rgb="FF4D4D4D"/>
      <name val="Century Gothic"/>
      <family val="2"/>
    </font>
    <font>
      <b/>
      <sz val="12"/>
      <color theme="0" tint="-0.499984740745262"/>
      <name val="Century Gothic"/>
      <family val="2"/>
    </font>
    <font>
      <sz val="9"/>
      <color rgb="FF00B050"/>
      <name val="Century Gothic"/>
      <family val="2"/>
    </font>
    <font>
      <sz val="9"/>
      <color theme="1" tint="0.34998626667073579"/>
      <name val="Century Gothic"/>
      <family val="2"/>
    </font>
    <font>
      <b/>
      <sz val="10"/>
      <color rgb="FF4D4D4D"/>
      <name val="Century Gothic"/>
      <family val="2"/>
    </font>
    <font>
      <b/>
      <sz val="10"/>
      <color theme="1"/>
      <name val="Century Gothic"/>
      <family val="2"/>
    </font>
    <font>
      <b/>
      <i/>
      <sz val="15"/>
      <color theme="0" tint="-0.499984740745262"/>
      <name val="Century Gothic"/>
      <family val="2"/>
    </font>
    <font>
      <b/>
      <sz val="9"/>
      <color theme="1"/>
      <name val="Century Gothic"/>
      <family val="2"/>
    </font>
    <font>
      <i/>
      <sz val="9"/>
      <color theme="1"/>
      <name val="Century Gothic"/>
      <family val="2"/>
    </font>
    <font>
      <sz val="9"/>
      <color theme="0"/>
      <name val="Century Gothic"/>
      <family val="2"/>
    </font>
    <font>
      <sz val="9"/>
      <color theme="3"/>
      <name val="Century Gothic"/>
      <family val="2"/>
    </font>
    <font>
      <sz val="9"/>
      <color rgb="FF048EB0"/>
      <name val="Century Gothic"/>
      <family val="2"/>
    </font>
    <font>
      <b/>
      <sz val="9"/>
      <color theme="2"/>
      <name val="Century Gothic"/>
      <family val="2"/>
    </font>
    <font>
      <b/>
      <sz val="9"/>
      <color theme="3"/>
      <name val="Century Gothic"/>
      <family val="2"/>
    </font>
    <font>
      <sz val="12"/>
      <color theme="1"/>
      <name val="MS PGothic"/>
      <family val="2"/>
      <charset val="128"/>
    </font>
    <font>
      <sz val="12"/>
      <color theme="1"/>
      <name val="Century Gothic"/>
      <family val="2"/>
    </font>
    <font>
      <u/>
      <sz val="22"/>
      <color theme="0"/>
      <name val="Century Gothic Bold"/>
    </font>
    <font>
      <b/>
      <sz val="24"/>
      <color theme="0" tint="-0.499984740745262"/>
      <name val="Century Gothic"/>
      <family val="2"/>
    </font>
    <font>
      <b/>
      <sz val="24"/>
      <color theme="0" tint="-0.499984740745262"/>
      <name val="MS PGothic"/>
      <family val="2"/>
      <charset val="12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double">
        <color theme="0" tint="-0.249977111117893"/>
      </bottom>
      <diagonal/>
    </border>
    <border>
      <left/>
      <right style="hair">
        <color theme="0" tint="-0.249977111117893"/>
      </right>
      <top/>
      <bottom/>
      <diagonal/>
    </border>
    <border>
      <left/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hair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hair">
        <color theme="0" tint="-0.249977111117893"/>
      </top>
      <bottom style="double">
        <color theme="0" tint="-0.249977111117893"/>
      </bottom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249977111117893"/>
      </left>
      <right/>
      <top/>
      <bottom/>
      <diagonal/>
    </border>
    <border>
      <left style="thick">
        <color theme="0" tint="-0.249977111117893"/>
      </left>
      <right/>
      <top/>
      <bottom style="hair">
        <color theme="0" tint="-0.249977111117893"/>
      </bottom>
      <diagonal/>
    </border>
    <border>
      <left style="thick">
        <color theme="0" tint="-0.249977111117893"/>
      </left>
      <right/>
      <top style="hair">
        <color theme="0" tint="-0.249977111117893"/>
      </top>
      <bottom style="hair">
        <color theme="0" tint="-0.249977111117893"/>
      </bottom>
      <diagonal/>
    </border>
    <border>
      <left style="thick">
        <color theme="0" tint="-0.249977111117893"/>
      </left>
      <right/>
      <top style="hair">
        <color theme="0" tint="-0.249977111117893"/>
      </top>
      <bottom style="double">
        <color theme="0" tint="-0.249977111117893"/>
      </bottom>
      <diagonal/>
    </border>
    <border>
      <left style="thick">
        <color theme="0" tint="-0.249977111117893"/>
      </left>
      <right/>
      <top style="hair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0" fontId="4" fillId="0" borderId="1" applyNumberFormat="0" applyFill="0" applyAlignment="0" applyProtection="0"/>
    <xf numFmtId="0" fontId="9" fillId="0" borderId="0"/>
    <xf numFmtId="0" fontId="24" fillId="0" borderId="0" applyNumberFormat="0" applyFill="0" applyBorder="0" applyAlignment="0" applyProtection="0"/>
  </cellStyleXfs>
  <cellXfs count="267">
    <xf numFmtId="0" fontId="0" fillId="0" borderId="0" xfId="0"/>
    <xf numFmtId="0" fontId="1" fillId="0" borderId="0" xfId="0" applyFont="1" applyAlignment="1">
      <alignment vertical="center" wrapText="1" readingOrder="1"/>
    </xf>
    <xf numFmtId="3" fontId="3" fillId="0" borderId="0" xfId="0" applyNumberFormat="1" applyFont="1" applyAlignment="1">
      <alignment horizontal="right" vertical="center" wrapText="1" readingOrder="1"/>
    </xf>
    <xf numFmtId="0" fontId="2" fillId="0" borderId="0" xfId="0" applyFont="1" applyAlignment="1">
      <alignment vertical="center" wrapText="1" readingOrder="1"/>
    </xf>
    <xf numFmtId="9" fontId="2" fillId="0" borderId="0" xfId="0" applyNumberFormat="1" applyFont="1" applyAlignment="1">
      <alignment horizontal="right" vertical="center" wrapText="1" readingOrder="1"/>
    </xf>
    <xf numFmtId="0" fontId="1" fillId="0" borderId="0" xfId="0" applyFont="1" applyAlignment="1">
      <alignment horizontal="right" vertical="center" wrapText="1" readingOrder="1"/>
    </xf>
    <xf numFmtId="0" fontId="3" fillId="0" borderId="0" xfId="0" applyFont="1" applyAlignment="1">
      <alignment horizontal="right" vertical="center" wrapText="1" readingOrder="1"/>
    </xf>
    <xf numFmtId="3" fontId="3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 readingOrder="1"/>
    </xf>
    <xf numFmtId="0" fontId="3" fillId="0" borderId="0" xfId="0" applyFont="1" applyAlignment="1">
      <alignment vertical="center" wrapText="1" readingOrder="1"/>
    </xf>
    <xf numFmtId="3" fontId="3" fillId="2" borderId="0" xfId="0" applyNumberFormat="1" applyFont="1" applyFill="1" applyAlignment="1">
      <alignment horizontal="right" vertical="center" wrapText="1" readingOrder="1"/>
    </xf>
    <xf numFmtId="0" fontId="3" fillId="0" borderId="0" xfId="0" applyFont="1" applyAlignment="1">
      <alignment horizontal="left" vertical="center" wrapText="1" readingOrder="1"/>
    </xf>
    <xf numFmtId="3" fontId="3" fillId="0" borderId="0" xfId="0" applyNumberFormat="1" applyFont="1" applyAlignment="1">
      <alignment horizontal="left" vertical="center" readingOrder="1"/>
    </xf>
    <xf numFmtId="3" fontId="5" fillId="0" borderId="0" xfId="0" applyNumberFormat="1" applyFont="1" applyAlignment="1">
      <alignment horizontal="right" vertical="center" wrapText="1" readingOrder="1"/>
    </xf>
    <xf numFmtId="0" fontId="5" fillId="0" borderId="0" xfId="0" applyFont="1" applyAlignment="1">
      <alignment horizontal="left" vertical="center" wrapText="1" readingOrder="1"/>
    </xf>
    <xf numFmtId="164" fontId="5" fillId="0" borderId="0" xfId="0" applyNumberFormat="1" applyFont="1" applyAlignment="1">
      <alignment horizontal="right" vertical="center" wrapText="1" readingOrder="1"/>
    </xf>
    <xf numFmtId="3" fontId="6" fillId="0" borderId="0" xfId="0" applyNumberFormat="1" applyFont="1" applyAlignment="1">
      <alignment horizontal="right" vertical="center" wrapText="1" readingOrder="1"/>
    </xf>
    <xf numFmtId="164" fontId="6" fillId="0" borderId="0" xfId="0" applyNumberFormat="1" applyFont="1" applyAlignment="1">
      <alignment horizontal="right" vertical="center" wrapText="1" readingOrder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right" vertical="center" wrapText="1" readingOrder="1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readingOrder="1"/>
    </xf>
    <xf numFmtId="3" fontId="5" fillId="0" borderId="0" xfId="0" applyNumberFormat="1" applyFont="1" applyAlignment="1">
      <alignment horizontal="left" vertical="center" readingOrder="1"/>
    </xf>
    <xf numFmtId="3" fontId="5" fillId="2" borderId="0" xfId="0" applyNumberFormat="1" applyFont="1" applyFill="1" applyAlignment="1">
      <alignment horizontal="right" vertical="center" wrapText="1" readingOrder="1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3" fontId="12" fillId="0" borderId="0" xfId="0" applyNumberFormat="1" applyFont="1" applyAlignment="1">
      <alignment horizontal="right" vertical="center" wrapText="1" readingOrder="1"/>
    </xf>
    <xf numFmtId="164" fontId="10" fillId="0" borderId="0" xfId="0" applyNumberFormat="1" applyFont="1" applyAlignment="1">
      <alignment vertical="center"/>
    </xf>
    <xf numFmtId="164" fontId="12" fillId="0" borderId="0" xfId="0" applyNumberFormat="1" applyFont="1" applyAlignment="1">
      <alignment horizontal="right" vertical="center" wrapText="1" readingOrder="1"/>
    </xf>
    <xf numFmtId="0" fontId="15" fillId="0" borderId="0" xfId="0" applyFont="1" applyAlignment="1">
      <alignment vertical="center"/>
    </xf>
    <xf numFmtId="1" fontId="10" fillId="0" borderId="0" xfId="0" applyNumberFormat="1" applyFont="1" applyAlignment="1">
      <alignment vertical="center"/>
    </xf>
    <xf numFmtId="3" fontId="17" fillId="0" borderId="0" xfId="0" applyNumberFormat="1" applyFont="1" applyAlignment="1">
      <alignment vertical="center"/>
    </xf>
    <xf numFmtId="3" fontId="14" fillId="0" borderId="0" xfId="0" applyNumberFormat="1" applyFont="1" applyAlignment="1">
      <alignment horizontal="right" vertical="center" wrapText="1" readingOrder="1"/>
    </xf>
    <xf numFmtId="0" fontId="16" fillId="0" borderId="0" xfId="0" applyFont="1" applyAlignment="1">
      <alignment vertical="center" textRotation="90"/>
    </xf>
    <xf numFmtId="3" fontId="18" fillId="0" borderId="0" xfId="0" applyNumberFormat="1" applyFont="1" applyAlignment="1">
      <alignment vertical="center"/>
    </xf>
    <xf numFmtId="3" fontId="19" fillId="0" borderId="0" xfId="0" applyNumberFormat="1" applyFont="1" applyAlignment="1">
      <alignment vertical="center"/>
    </xf>
    <xf numFmtId="164" fontId="20" fillId="0" borderId="0" xfId="0" applyNumberFormat="1" applyFont="1" applyAlignment="1">
      <alignment vertical="center"/>
    </xf>
    <xf numFmtId="164" fontId="21" fillId="0" borderId="0" xfId="0" applyNumberFormat="1" applyFont="1" applyAlignment="1">
      <alignment vertical="center"/>
    </xf>
    <xf numFmtId="0" fontId="11" fillId="0" borderId="0" xfId="0" applyFont="1" applyAlignment="1">
      <alignment vertical="center" textRotation="90"/>
    </xf>
    <xf numFmtId="3" fontId="10" fillId="0" borderId="0" xfId="0" applyNumberFormat="1" applyFont="1" applyAlignment="1">
      <alignment vertical="center"/>
    </xf>
    <xf numFmtId="3" fontId="20" fillId="0" borderId="0" xfId="0" applyNumberFormat="1" applyFont="1" applyAlignment="1">
      <alignment vertical="center"/>
    </xf>
    <xf numFmtId="3" fontId="14" fillId="11" borderId="2" xfId="0" applyNumberFormat="1" applyFont="1" applyFill="1" applyBorder="1" applyAlignment="1">
      <alignment horizontal="right" vertical="center" wrapText="1" readingOrder="1"/>
    </xf>
    <xf numFmtId="0" fontId="14" fillId="11" borderId="2" xfId="0" applyFont="1" applyFill="1" applyBorder="1" applyAlignment="1">
      <alignment horizontal="left" vertical="center"/>
    </xf>
    <xf numFmtId="0" fontId="13" fillId="9" borderId="0" xfId="0" applyFont="1" applyFill="1" applyAlignment="1">
      <alignment horizontal="left" vertical="center" wrapText="1" indent="1" readingOrder="1"/>
    </xf>
    <xf numFmtId="9" fontId="13" fillId="9" borderId="0" xfId="0" applyNumberFormat="1" applyFont="1" applyFill="1" applyAlignment="1">
      <alignment horizontal="right" vertical="center" wrapText="1" readingOrder="1"/>
    </xf>
    <xf numFmtId="0" fontId="12" fillId="8" borderId="0" xfId="0" applyFont="1" applyFill="1" applyAlignment="1">
      <alignment horizontal="left" vertical="center" wrapText="1" readingOrder="1"/>
    </xf>
    <xf numFmtId="165" fontId="12" fillId="8" borderId="0" xfId="0" applyNumberFormat="1" applyFont="1" applyFill="1" applyAlignment="1">
      <alignment horizontal="right" vertical="center" wrapText="1" readingOrder="1"/>
    </xf>
    <xf numFmtId="164" fontId="22" fillId="0" borderId="6" xfId="0" applyNumberFormat="1" applyFont="1" applyBorder="1" applyAlignment="1">
      <alignment horizontal="center" vertical="center" wrapText="1" readingOrder="1"/>
    </xf>
    <xf numFmtId="164" fontId="22" fillId="0" borderId="13" xfId="0" applyNumberFormat="1" applyFont="1" applyBorder="1" applyAlignment="1">
      <alignment horizontal="center" vertical="center" wrapText="1" readingOrder="1"/>
    </xf>
    <xf numFmtId="0" fontId="23" fillId="0" borderId="0" xfId="0" applyFont="1" applyAlignment="1">
      <alignment vertical="center"/>
    </xf>
    <xf numFmtId="0" fontId="23" fillId="2" borderId="0" xfId="0" applyFont="1" applyFill="1" applyAlignment="1">
      <alignment vertical="center"/>
    </xf>
    <xf numFmtId="0" fontId="9" fillId="0" borderId="0" xfId="2"/>
    <xf numFmtId="0" fontId="40" fillId="2" borderId="0" xfId="0" applyFont="1" applyFill="1" applyAlignment="1">
      <alignment vertical="center"/>
    </xf>
    <xf numFmtId="0" fontId="41" fillId="2" borderId="0" xfId="0" applyFont="1" applyFill="1" applyAlignment="1">
      <alignment vertical="center"/>
    </xf>
    <xf numFmtId="0" fontId="42" fillId="2" borderId="0" xfId="0" applyFont="1" applyFill="1" applyAlignment="1">
      <alignment vertical="center"/>
    </xf>
    <xf numFmtId="0" fontId="43" fillId="0" borderId="0" xfId="0" applyFont="1" applyAlignment="1">
      <alignment vertical="top"/>
    </xf>
    <xf numFmtId="0" fontId="44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8" fillId="9" borderId="19" xfId="0" applyFont="1" applyFill="1" applyBorder="1" applyAlignment="1">
      <alignment horizontal="left" vertical="center" indent="1"/>
    </xf>
    <xf numFmtId="0" fontId="47" fillId="0" borderId="17" xfId="0" applyFont="1" applyBorder="1" applyAlignment="1">
      <alignment horizontal="center" vertical="center"/>
    </xf>
    <xf numFmtId="0" fontId="49" fillId="0" borderId="0" xfId="0" applyFont="1" applyAlignment="1">
      <alignment vertical="center"/>
    </xf>
    <xf numFmtId="0" fontId="48" fillId="9" borderId="16" xfId="0" applyFont="1" applyFill="1" applyBorder="1" applyAlignment="1">
      <alignment horizontal="left" vertical="center" indent="1"/>
    </xf>
    <xf numFmtId="9" fontId="47" fillId="0" borderId="18" xfId="0" applyNumberFormat="1" applyFont="1" applyBorder="1" applyAlignment="1">
      <alignment horizontal="center" vertical="center"/>
    </xf>
    <xf numFmtId="0" fontId="48" fillId="0" borderId="0" xfId="0" applyFont="1" applyAlignment="1">
      <alignment vertical="center"/>
    </xf>
    <xf numFmtId="3" fontId="50" fillId="0" borderId="0" xfId="0" applyNumberFormat="1" applyFont="1" applyAlignment="1">
      <alignment horizontal="left" vertical="center" readingOrder="1"/>
    </xf>
    <xf numFmtId="3" fontId="46" fillId="0" borderId="0" xfId="0" applyNumberFormat="1" applyFont="1" applyAlignment="1">
      <alignment horizontal="right" vertical="center" wrapText="1" readingOrder="1"/>
    </xf>
    <xf numFmtId="0" fontId="52" fillId="5" borderId="0" xfId="0" applyFont="1" applyFill="1" applyAlignment="1">
      <alignment horizontal="left" vertical="center" wrapText="1" indent="1" readingOrder="1"/>
    </xf>
    <xf numFmtId="0" fontId="52" fillId="5" borderId="6" xfId="0" applyFont="1" applyFill="1" applyBorder="1" applyAlignment="1">
      <alignment horizontal="left" vertical="center" wrapText="1" indent="1" readingOrder="1"/>
    </xf>
    <xf numFmtId="0" fontId="52" fillId="6" borderId="0" xfId="0" applyFont="1" applyFill="1" applyAlignment="1">
      <alignment horizontal="left" vertical="center" indent="1"/>
    </xf>
    <xf numFmtId="0" fontId="52" fillId="6" borderId="0" xfId="0" applyFont="1" applyFill="1" applyAlignment="1">
      <alignment horizontal="center" vertical="center"/>
    </xf>
    <xf numFmtId="0" fontId="53" fillId="6" borderId="0" xfId="0" applyFont="1" applyFill="1" applyAlignment="1">
      <alignment horizontal="center" vertical="center"/>
    </xf>
    <xf numFmtId="0" fontId="53" fillId="6" borderId="6" xfId="0" applyFont="1" applyFill="1" applyBorder="1" applyAlignment="1">
      <alignment horizontal="center" vertical="center"/>
    </xf>
    <xf numFmtId="0" fontId="52" fillId="4" borderId="0" xfId="0" applyFont="1" applyFill="1" applyAlignment="1">
      <alignment horizontal="left" vertical="center" wrapText="1" indent="1" readingOrder="1"/>
    </xf>
    <xf numFmtId="168" fontId="52" fillId="3" borderId="0" xfId="0" applyNumberFormat="1" applyFont="1" applyFill="1" applyAlignment="1">
      <alignment horizontal="center" vertical="center" wrapText="1" readingOrder="1"/>
    </xf>
    <xf numFmtId="168" fontId="52" fillId="3" borderId="6" xfId="0" applyNumberFormat="1" applyFont="1" applyFill="1" applyBorder="1" applyAlignment="1">
      <alignment horizontal="center" vertical="center" wrapText="1" readingOrder="1"/>
    </xf>
    <xf numFmtId="169" fontId="52" fillId="7" borderId="0" xfId="0" applyNumberFormat="1" applyFont="1" applyFill="1" applyAlignment="1">
      <alignment horizontal="center" vertical="center"/>
    </xf>
    <xf numFmtId="169" fontId="52" fillId="7" borderId="6" xfId="0" applyNumberFormat="1" applyFont="1" applyFill="1" applyBorder="1" applyAlignment="1">
      <alignment horizontal="center" vertical="center"/>
    </xf>
    <xf numFmtId="168" fontId="52" fillId="4" borderId="0" xfId="0" applyNumberFormat="1" applyFont="1" applyFill="1" applyAlignment="1">
      <alignment horizontal="center" vertical="center" wrapText="1" readingOrder="1"/>
    </xf>
    <xf numFmtId="0" fontId="46" fillId="9" borderId="0" xfId="0" applyFont="1" applyFill="1" applyAlignment="1">
      <alignment horizontal="left" vertical="center" wrapText="1" readingOrder="1"/>
    </xf>
    <xf numFmtId="3" fontId="46" fillId="0" borderId="0" xfId="0" applyNumberFormat="1" applyFont="1" applyAlignment="1">
      <alignment horizontal="center" vertical="center" wrapText="1" readingOrder="1"/>
    </xf>
    <xf numFmtId="3" fontId="46" fillId="0" borderId="6" xfId="0" applyNumberFormat="1" applyFont="1" applyBorder="1" applyAlignment="1">
      <alignment horizontal="center" vertical="center" wrapText="1" readingOrder="1"/>
    </xf>
    <xf numFmtId="3" fontId="46" fillId="8" borderId="0" xfId="0" applyNumberFormat="1" applyFont="1" applyFill="1" applyAlignment="1">
      <alignment horizontal="center" vertical="center" wrapText="1" readingOrder="1"/>
    </xf>
    <xf numFmtId="3" fontId="46" fillId="8" borderId="6" xfId="0" applyNumberFormat="1" applyFont="1" applyFill="1" applyBorder="1" applyAlignment="1">
      <alignment horizontal="center" vertical="center" wrapText="1" readingOrder="1"/>
    </xf>
    <xf numFmtId="164" fontId="54" fillId="9" borderId="0" xfId="0" applyNumberFormat="1" applyFont="1" applyFill="1" applyAlignment="1">
      <alignment horizontal="center" vertical="center" wrapText="1" readingOrder="1"/>
    </xf>
    <xf numFmtId="0" fontId="54" fillId="9" borderId="0" xfId="0" applyFont="1" applyFill="1" applyAlignment="1">
      <alignment horizontal="left" vertical="center" wrapText="1" indent="1" readingOrder="1"/>
    </xf>
    <xf numFmtId="164" fontId="54" fillId="9" borderId="6" xfId="0" applyNumberFormat="1" applyFont="1" applyFill="1" applyBorder="1" applyAlignment="1">
      <alignment horizontal="center" vertical="center" wrapText="1" readingOrder="1"/>
    </xf>
    <xf numFmtId="164" fontId="55" fillId="0" borderId="0" xfId="0" applyNumberFormat="1" applyFont="1" applyAlignment="1">
      <alignment horizontal="center" vertical="center"/>
    </xf>
    <xf numFmtId="164" fontId="55" fillId="8" borderId="0" xfId="0" applyNumberFormat="1" applyFont="1" applyFill="1" applyAlignment="1">
      <alignment horizontal="center" vertical="center"/>
    </xf>
    <xf numFmtId="164" fontId="55" fillId="8" borderId="6" xfId="0" applyNumberFormat="1" applyFont="1" applyFill="1" applyBorder="1" applyAlignment="1">
      <alignment horizontal="center" vertical="center"/>
    </xf>
    <xf numFmtId="0" fontId="46" fillId="9" borderId="0" xfId="0" applyFont="1" applyFill="1" applyAlignment="1">
      <alignment horizontal="left" vertical="center"/>
    </xf>
    <xf numFmtId="3" fontId="46" fillId="0" borderId="0" xfId="0" applyNumberFormat="1" applyFont="1" applyAlignment="1">
      <alignment horizontal="center" vertical="center"/>
    </xf>
    <xf numFmtId="3" fontId="46" fillId="0" borderId="6" xfId="0" applyNumberFormat="1" applyFont="1" applyBorder="1" applyAlignment="1">
      <alignment horizontal="center" vertical="center"/>
    </xf>
    <xf numFmtId="3" fontId="46" fillId="8" borderId="0" xfId="0" applyNumberFormat="1" applyFont="1" applyFill="1" applyAlignment="1">
      <alignment horizontal="center" vertical="center"/>
    </xf>
    <xf numFmtId="3" fontId="46" fillId="8" borderId="6" xfId="0" applyNumberFormat="1" applyFont="1" applyFill="1" applyBorder="1" applyAlignment="1">
      <alignment horizontal="center" vertical="center"/>
    </xf>
    <xf numFmtId="164" fontId="46" fillId="9" borderId="0" xfId="0" applyNumberFormat="1" applyFont="1" applyFill="1" applyAlignment="1">
      <alignment horizontal="center" vertical="center" wrapText="1" readingOrder="1"/>
    </xf>
    <xf numFmtId="0" fontId="44" fillId="11" borderId="0" xfId="0" applyFont="1" applyFill="1" applyAlignment="1">
      <alignment horizontal="left" vertical="center"/>
    </xf>
    <xf numFmtId="3" fontId="44" fillId="11" borderId="0" xfId="0" applyNumberFormat="1" applyFont="1" applyFill="1" applyAlignment="1">
      <alignment horizontal="center" vertical="center"/>
    </xf>
    <xf numFmtId="3" fontId="44" fillId="11" borderId="6" xfId="0" applyNumberFormat="1" applyFont="1" applyFill="1" applyBorder="1" applyAlignment="1">
      <alignment horizontal="center" vertical="center"/>
    </xf>
    <xf numFmtId="3" fontId="44" fillId="10" borderId="0" xfId="0" applyNumberFormat="1" applyFont="1" applyFill="1" applyAlignment="1">
      <alignment horizontal="center" vertical="center"/>
    </xf>
    <xf numFmtId="3" fontId="44" fillId="10" borderId="6" xfId="0" applyNumberFormat="1" applyFont="1" applyFill="1" applyBorder="1" applyAlignment="1">
      <alignment horizontal="center" vertical="center"/>
    </xf>
    <xf numFmtId="164" fontId="44" fillId="11" borderId="0" xfId="0" applyNumberFormat="1" applyFont="1" applyFill="1" applyAlignment="1">
      <alignment horizontal="center" vertical="center" wrapText="1" readingOrder="1"/>
    </xf>
    <xf numFmtId="0" fontId="54" fillId="9" borderId="0" xfId="0" applyFont="1" applyFill="1" applyAlignment="1">
      <alignment horizontal="left" vertical="center" indent="1"/>
    </xf>
    <xf numFmtId="164" fontId="55" fillId="8" borderId="0" xfId="0" applyNumberFormat="1" applyFont="1" applyFill="1" applyAlignment="1">
      <alignment horizontal="center" vertical="center" wrapText="1" readingOrder="1"/>
    </xf>
    <xf numFmtId="164" fontId="55" fillId="8" borderId="6" xfId="0" applyNumberFormat="1" applyFont="1" applyFill="1" applyBorder="1" applyAlignment="1">
      <alignment horizontal="center" vertical="center" wrapText="1" readingOrder="1"/>
    </xf>
    <xf numFmtId="164" fontId="54" fillId="8" borderId="0" xfId="0" applyNumberFormat="1" applyFont="1" applyFill="1" applyAlignment="1">
      <alignment horizontal="center" vertical="center" wrapText="1" readingOrder="1"/>
    </xf>
    <xf numFmtId="164" fontId="54" fillId="8" borderId="6" xfId="0" applyNumberFormat="1" applyFont="1" applyFill="1" applyBorder="1" applyAlignment="1">
      <alignment horizontal="center" vertical="center" wrapText="1" readingOrder="1"/>
    </xf>
    <xf numFmtId="0" fontId="44" fillId="11" borderId="2" xfId="0" applyFont="1" applyFill="1" applyBorder="1" applyAlignment="1">
      <alignment horizontal="left" vertical="center" wrapText="1" readingOrder="1"/>
    </xf>
    <xf numFmtId="3" fontId="44" fillId="11" borderId="2" xfId="0" applyNumberFormat="1" applyFont="1" applyFill="1" applyBorder="1" applyAlignment="1">
      <alignment horizontal="center" vertical="center" wrapText="1" readingOrder="1"/>
    </xf>
    <xf numFmtId="3" fontId="44" fillId="11" borderId="7" xfId="0" applyNumberFormat="1" applyFont="1" applyFill="1" applyBorder="1" applyAlignment="1">
      <alignment horizontal="center" vertical="center" wrapText="1" readingOrder="1"/>
    </xf>
    <xf numFmtId="3" fontId="44" fillId="10" borderId="2" xfId="0" applyNumberFormat="1" applyFont="1" applyFill="1" applyBorder="1" applyAlignment="1">
      <alignment horizontal="center" vertical="center" wrapText="1" readingOrder="1"/>
    </xf>
    <xf numFmtId="3" fontId="44" fillId="10" borderId="7" xfId="0" applyNumberFormat="1" applyFont="1" applyFill="1" applyBorder="1" applyAlignment="1">
      <alignment horizontal="center" vertical="center" wrapText="1" readingOrder="1"/>
    </xf>
    <xf numFmtId="164" fontId="56" fillId="11" borderId="2" xfId="0" applyNumberFormat="1" applyFont="1" applyFill="1" applyBorder="1" applyAlignment="1">
      <alignment horizontal="center" vertical="center" wrapText="1" readingOrder="1"/>
    </xf>
    <xf numFmtId="3" fontId="44" fillId="11" borderId="2" xfId="0" applyNumberFormat="1" applyFont="1" applyFill="1" applyBorder="1" applyAlignment="1">
      <alignment horizontal="center" vertical="center"/>
    </xf>
    <xf numFmtId="3" fontId="44" fillId="11" borderId="7" xfId="0" applyNumberFormat="1" applyFont="1" applyFill="1" applyBorder="1" applyAlignment="1">
      <alignment horizontal="center" vertical="center"/>
    </xf>
    <xf numFmtId="3" fontId="44" fillId="10" borderId="2" xfId="0" applyNumberFormat="1" applyFont="1" applyFill="1" applyBorder="1" applyAlignment="1">
      <alignment horizontal="center" vertical="center"/>
    </xf>
    <xf numFmtId="3" fontId="44" fillId="10" borderId="7" xfId="0" applyNumberFormat="1" applyFont="1" applyFill="1" applyBorder="1" applyAlignment="1">
      <alignment horizontal="center" vertical="center"/>
    </xf>
    <xf numFmtId="1" fontId="46" fillId="8" borderId="0" xfId="0" applyNumberFormat="1" applyFont="1" applyFill="1" applyAlignment="1">
      <alignment horizontal="center" vertical="center"/>
    </xf>
    <xf numFmtId="1" fontId="46" fillId="8" borderId="6" xfId="0" applyNumberFormat="1" applyFont="1" applyFill="1" applyBorder="1" applyAlignment="1">
      <alignment horizontal="center" vertical="center"/>
    </xf>
    <xf numFmtId="0" fontId="43" fillId="0" borderId="20" xfId="0" applyFont="1" applyBorder="1" applyAlignment="1">
      <alignment horizontal="left" vertical="top" indent="1"/>
    </xf>
    <xf numFmtId="0" fontId="57" fillId="0" borderId="20" xfId="0" applyFont="1" applyBorder="1" applyAlignment="1">
      <alignment horizontal="left" vertical="center" indent="1"/>
    </xf>
    <xf numFmtId="0" fontId="58" fillId="0" borderId="20" xfId="0" applyFont="1" applyBorder="1" applyAlignment="1">
      <alignment horizontal="left" vertical="center" indent="1"/>
    </xf>
    <xf numFmtId="0" fontId="44" fillId="8" borderId="21" xfId="0" applyFont="1" applyFill="1" applyBorder="1" applyAlignment="1">
      <alignment horizontal="left" vertical="center" indent="1"/>
    </xf>
    <xf numFmtId="0" fontId="44" fillId="8" borderId="9" xfId="0" applyFont="1" applyFill="1" applyBorder="1" applyAlignment="1">
      <alignment horizontal="center" vertical="center" wrapText="1"/>
    </xf>
    <xf numFmtId="0" fontId="46" fillId="2" borderId="0" xfId="0" applyFont="1" applyFill="1" applyAlignment="1">
      <alignment vertical="center"/>
    </xf>
    <xf numFmtId="0" fontId="46" fillId="2" borderId="24" xfId="0" applyFont="1" applyFill="1" applyBorder="1" applyAlignment="1">
      <alignment horizontal="left" vertical="center" indent="1"/>
    </xf>
    <xf numFmtId="0" fontId="59" fillId="2" borderId="0" xfId="0" applyFont="1" applyFill="1" applyAlignment="1">
      <alignment horizontal="center" vertical="center"/>
    </xf>
    <xf numFmtId="1" fontId="59" fillId="2" borderId="0" xfId="0" applyNumberFormat="1" applyFont="1" applyFill="1" applyAlignment="1">
      <alignment horizontal="center" vertical="center"/>
    </xf>
    <xf numFmtId="164" fontId="46" fillId="9" borderId="0" xfId="0" applyNumberFormat="1" applyFont="1" applyFill="1" applyAlignment="1">
      <alignment horizontal="center" vertical="center"/>
    </xf>
    <xf numFmtId="9" fontId="59" fillId="2" borderId="0" xfId="0" applyNumberFormat="1" applyFont="1" applyFill="1" applyAlignment="1">
      <alignment horizontal="center" vertical="center"/>
    </xf>
    <xf numFmtId="2" fontId="46" fillId="9" borderId="0" xfId="0" applyNumberFormat="1" applyFont="1" applyFill="1" applyAlignment="1">
      <alignment horizontal="center" vertical="center"/>
    </xf>
    <xf numFmtId="0" fontId="46" fillId="2" borderId="20" xfId="0" applyFont="1" applyFill="1" applyBorder="1" applyAlignment="1">
      <alignment horizontal="left" vertical="center" indent="1"/>
    </xf>
    <xf numFmtId="0" fontId="46" fillId="2" borderId="21" xfId="0" applyFont="1" applyFill="1" applyBorder="1" applyAlignment="1">
      <alignment horizontal="left" vertical="center" indent="1"/>
    </xf>
    <xf numFmtId="0" fontId="44" fillId="11" borderId="24" xfId="0" applyFont="1" applyFill="1" applyBorder="1" applyAlignment="1">
      <alignment horizontal="left" vertical="center" indent="1"/>
    </xf>
    <xf numFmtId="2" fontId="44" fillId="11" borderId="11" xfId="0" applyNumberFormat="1" applyFont="1" applyFill="1" applyBorder="1" applyAlignment="1">
      <alignment horizontal="center" vertical="center"/>
    </xf>
    <xf numFmtId="164" fontId="44" fillId="11" borderId="11" xfId="0" applyNumberFormat="1" applyFont="1" applyFill="1" applyBorder="1" applyAlignment="1">
      <alignment horizontal="center" vertical="center"/>
    </xf>
    <xf numFmtId="9" fontId="44" fillId="11" borderId="11" xfId="0" applyNumberFormat="1" applyFont="1" applyFill="1" applyBorder="1" applyAlignment="1">
      <alignment horizontal="center" vertical="center"/>
    </xf>
    <xf numFmtId="0" fontId="44" fillId="11" borderId="21" xfId="0" applyFont="1" applyFill="1" applyBorder="1" applyAlignment="1">
      <alignment horizontal="left" vertical="center" indent="1"/>
    </xf>
    <xf numFmtId="2" fontId="44" fillId="11" borderId="9" xfId="0" applyNumberFormat="1" applyFont="1" applyFill="1" applyBorder="1" applyAlignment="1">
      <alignment horizontal="center" vertical="center"/>
    </xf>
    <xf numFmtId="164" fontId="44" fillId="11" borderId="9" xfId="0" applyNumberFormat="1" applyFont="1" applyFill="1" applyBorder="1" applyAlignment="1">
      <alignment horizontal="center" vertical="center"/>
    </xf>
    <xf numFmtId="9" fontId="44" fillId="11" borderId="9" xfId="0" applyNumberFormat="1" applyFont="1" applyFill="1" applyBorder="1" applyAlignment="1">
      <alignment horizontal="center" vertical="center"/>
    </xf>
    <xf numFmtId="0" fontId="46" fillId="2" borderId="20" xfId="0" applyFont="1" applyFill="1" applyBorder="1" applyAlignment="1">
      <alignment horizontal="left" vertical="center" indent="1" readingOrder="1"/>
    </xf>
    <xf numFmtId="0" fontId="44" fillId="8" borderId="20" xfId="0" applyFont="1" applyFill="1" applyBorder="1" applyAlignment="1">
      <alignment horizontal="left" vertical="center" wrapText="1" indent="1"/>
    </xf>
    <xf numFmtId="0" fontId="44" fillId="8" borderId="0" xfId="0" applyFont="1" applyFill="1" applyAlignment="1">
      <alignment vertical="center" wrapText="1"/>
    </xf>
    <xf numFmtId="0" fontId="44" fillId="8" borderId="0" xfId="0" applyFont="1" applyFill="1" applyAlignment="1">
      <alignment horizontal="center" vertical="center" wrapText="1"/>
    </xf>
    <xf numFmtId="0" fontId="44" fillId="9" borderId="0" xfId="0" applyFont="1" applyFill="1" applyAlignment="1">
      <alignment horizontal="center" vertical="center" wrapText="1"/>
    </xf>
    <xf numFmtId="0" fontId="46" fillId="2" borderId="0" xfId="0" applyFont="1" applyFill="1" applyAlignment="1">
      <alignment horizontal="center" vertical="center" wrapText="1"/>
    </xf>
    <xf numFmtId="0" fontId="46" fillId="10" borderId="22" xfId="0" applyFont="1" applyFill="1" applyBorder="1" applyAlignment="1">
      <alignment horizontal="left" vertical="center" indent="1"/>
    </xf>
    <xf numFmtId="0" fontId="46" fillId="10" borderId="10" xfId="0" applyFont="1" applyFill="1" applyBorder="1" applyAlignment="1">
      <alignment vertical="center"/>
    </xf>
    <xf numFmtId="2" fontId="46" fillId="10" borderId="10" xfId="0" applyNumberFormat="1" applyFont="1" applyFill="1" applyBorder="1" applyAlignment="1">
      <alignment horizontal="center" vertical="center"/>
    </xf>
    <xf numFmtId="164" fontId="46" fillId="10" borderId="10" xfId="0" applyNumberFormat="1" applyFont="1" applyFill="1" applyBorder="1" applyAlignment="1">
      <alignment horizontal="center" vertical="center"/>
    </xf>
    <xf numFmtId="9" fontId="46" fillId="10" borderId="10" xfId="0" applyNumberFormat="1" applyFont="1" applyFill="1" applyBorder="1" applyAlignment="1">
      <alignment horizontal="center" vertical="center"/>
    </xf>
    <xf numFmtId="2" fontId="46" fillId="11" borderId="10" xfId="0" applyNumberFormat="1" applyFont="1" applyFill="1" applyBorder="1" applyAlignment="1">
      <alignment horizontal="center" vertical="center"/>
    </xf>
    <xf numFmtId="164" fontId="44" fillId="0" borderId="0" xfId="0" applyNumberFormat="1" applyFont="1" applyAlignment="1">
      <alignment horizontal="right" vertical="center" wrapText="1" readingOrder="1"/>
    </xf>
    <xf numFmtId="3" fontId="50" fillId="0" borderId="0" xfId="0" applyNumberFormat="1" applyFont="1" applyAlignment="1">
      <alignment horizontal="right" vertical="center" wrapText="1" readingOrder="1"/>
    </xf>
    <xf numFmtId="0" fontId="48" fillId="0" borderId="0" xfId="0" applyFont="1" applyAlignment="1">
      <alignment horizontal="right" vertical="center"/>
    </xf>
    <xf numFmtId="0" fontId="44" fillId="8" borderId="20" xfId="0" applyFont="1" applyFill="1" applyBorder="1" applyAlignment="1">
      <alignment horizontal="left" vertical="center" indent="1"/>
    </xf>
    <xf numFmtId="0" fontId="46" fillId="8" borderId="6" xfId="0" applyFont="1" applyFill="1" applyBorder="1" applyAlignment="1">
      <alignment horizontal="right" vertical="center"/>
    </xf>
    <xf numFmtId="0" fontId="44" fillId="8" borderId="0" xfId="0" applyFont="1" applyFill="1" applyAlignment="1">
      <alignment horizontal="left" vertical="center" indent="1"/>
    </xf>
    <xf numFmtId="0" fontId="44" fillId="8" borderId="0" xfId="0" applyFont="1" applyFill="1" applyAlignment="1">
      <alignment vertical="center"/>
    </xf>
    <xf numFmtId="164" fontId="46" fillId="8" borderId="0" xfId="0" applyNumberFormat="1" applyFont="1" applyFill="1" applyAlignment="1">
      <alignment horizontal="left" vertical="center"/>
    </xf>
    <xf numFmtId="0" fontId="45" fillId="8" borderId="0" xfId="0" applyFont="1" applyFill="1" applyAlignment="1">
      <alignment vertical="center"/>
    </xf>
    <xf numFmtId="3" fontId="46" fillId="8" borderId="0" xfId="0" applyNumberFormat="1" applyFont="1" applyFill="1" applyAlignment="1">
      <alignment horizontal="right" vertical="center" wrapText="1" readingOrder="1"/>
    </xf>
    <xf numFmtId="0" fontId="46" fillId="8" borderId="20" xfId="0" applyFont="1" applyFill="1" applyBorder="1" applyAlignment="1">
      <alignment horizontal="left" vertical="center" indent="1"/>
    </xf>
    <xf numFmtId="164" fontId="46" fillId="8" borderId="6" xfId="0" applyNumberFormat="1" applyFont="1" applyFill="1" applyBorder="1" applyAlignment="1">
      <alignment horizontal="center" vertical="center"/>
    </xf>
    <xf numFmtId="164" fontId="44" fillId="0" borderId="10" xfId="0" applyNumberFormat="1" applyFont="1" applyBorder="1" applyAlignment="1">
      <alignment horizontal="left" vertical="center" indent="1"/>
    </xf>
    <xf numFmtId="3" fontId="46" fillId="0" borderId="10" xfId="0" applyNumberFormat="1" applyFont="1" applyBorder="1" applyAlignment="1">
      <alignment horizontal="left" vertical="center" wrapText="1" readingOrder="1"/>
    </xf>
    <xf numFmtId="3" fontId="46" fillId="0" borderId="10" xfId="0" applyNumberFormat="1" applyFont="1" applyBorder="1" applyAlignment="1">
      <alignment horizontal="right" vertical="center" wrapText="1" readingOrder="1"/>
    </xf>
    <xf numFmtId="164" fontId="46" fillId="8" borderId="6" xfId="0" applyNumberFormat="1" applyFont="1" applyFill="1" applyBorder="1" applyAlignment="1">
      <alignment horizontal="center" vertical="center" wrapText="1" readingOrder="1"/>
    </xf>
    <xf numFmtId="164" fontId="59" fillId="0" borderId="6" xfId="0" applyNumberFormat="1" applyFont="1" applyBorder="1" applyAlignment="1">
      <alignment horizontal="center" vertical="center" wrapText="1" readingOrder="1"/>
    </xf>
    <xf numFmtId="4" fontId="46" fillId="8" borderId="6" xfId="0" applyNumberFormat="1" applyFont="1" applyFill="1" applyBorder="1" applyAlignment="1">
      <alignment horizontal="center" vertical="center" wrapText="1" readingOrder="1"/>
    </xf>
    <xf numFmtId="0" fontId="46" fillId="8" borderId="21" xfId="0" applyFont="1" applyFill="1" applyBorder="1" applyAlignment="1">
      <alignment horizontal="left" vertical="center" indent="1"/>
    </xf>
    <xf numFmtId="164" fontId="59" fillId="0" borderId="13" xfId="0" applyNumberFormat="1" applyFont="1" applyBorder="1" applyAlignment="1">
      <alignment horizontal="center" vertical="center" wrapText="1" readingOrder="1"/>
    </xf>
    <xf numFmtId="0" fontId="44" fillId="10" borderId="22" xfId="0" applyFont="1" applyFill="1" applyBorder="1" applyAlignment="1">
      <alignment horizontal="left" vertical="center" indent="1"/>
    </xf>
    <xf numFmtId="164" fontId="44" fillId="10" borderId="14" xfId="0" applyNumberFormat="1" applyFont="1" applyFill="1" applyBorder="1" applyAlignment="1">
      <alignment horizontal="center" vertical="center"/>
    </xf>
    <xf numFmtId="0" fontId="44" fillId="9" borderId="20" xfId="0" applyFont="1" applyFill="1" applyBorder="1" applyAlignment="1">
      <alignment horizontal="left" vertical="center" indent="1"/>
    </xf>
    <xf numFmtId="9" fontId="46" fillId="9" borderId="6" xfId="0" applyNumberFormat="1" applyFont="1" applyFill="1" applyBorder="1" applyAlignment="1">
      <alignment horizontal="center" vertical="center"/>
    </xf>
    <xf numFmtId="0" fontId="46" fillId="9" borderId="20" xfId="0" applyFont="1" applyFill="1" applyBorder="1" applyAlignment="1">
      <alignment horizontal="left" vertical="center" indent="1"/>
    </xf>
    <xf numFmtId="0" fontId="46" fillId="9" borderId="21" xfId="0" applyFont="1" applyFill="1" applyBorder="1" applyAlignment="1">
      <alignment horizontal="left" vertical="center" indent="1"/>
    </xf>
    <xf numFmtId="164" fontId="46" fillId="9" borderId="13" xfId="0" applyNumberFormat="1" applyFont="1" applyFill="1" applyBorder="1" applyAlignment="1">
      <alignment horizontal="center" vertical="center" wrapText="1" readingOrder="1"/>
    </xf>
    <xf numFmtId="164" fontId="44" fillId="10" borderId="14" xfId="0" applyNumberFormat="1" applyFont="1" applyFill="1" applyBorder="1" applyAlignment="1">
      <alignment horizontal="center" vertical="center" wrapText="1" readingOrder="1"/>
    </xf>
    <xf numFmtId="164" fontId="44" fillId="10" borderId="10" xfId="0" applyNumberFormat="1" applyFont="1" applyFill="1" applyBorder="1" applyAlignment="1">
      <alignment horizontal="right" vertical="center" wrapText="1" readingOrder="1"/>
    </xf>
    <xf numFmtId="3" fontId="46" fillId="10" borderId="10" xfId="0" applyNumberFormat="1" applyFont="1" applyFill="1" applyBorder="1" applyAlignment="1">
      <alignment horizontal="left" vertical="center" wrapText="1" readingOrder="1"/>
    </xf>
    <xf numFmtId="3" fontId="46" fillId="10" borderId="10" xfId="0" applyNumberFormat="1" applyFont="1" applyFill="1" applyBorder="1" applyAlignment="1">
      <alignment horizontal="right" vertical="center" wrapText="1" readingOrder="1"/>
    </xf>
    <xf numFmtId="0" fontId="60" fillId="11" borderId="23" xfId="1" applyFont="1" applyFill="1" applyBorder="1" applyAlignment="1">
      <alignment horizontal="left" vertical="center" indent="1"/>
    </xf>
    <xf numFmtId="164" fontId="60" fillId="11" borderId="15" xfId="1" applyNumberFormat="1" applyFont="1" applyFill="1" applyBorder="1" applyAlignment="1">
      <alignment horizontal="center" vertical="center" wrapText="1" readingOrder="1"/>
    </xf>
    <xf numFmtId="164" fontId="61" fillId="11" borderId="12" xfId="1" applyNumberFormat="1" applyFont="1" applyFill="1" applyBorder="1" applyAlignment="1">
      <alignment horizontal="right" vertical="center" wrapText="1" readingOrder="1"/>
    </xf>
    <xf numFmtId="3" fontId="61" fillId="11" borderId="12" xfId="1" applyNumberFormat="1" applyFont="1" applyFill="1" applyBorder="1" applyAlignment="1">
      <alignment horizontal="left" vertical="center" wrapText="1" readingOrder="1"/>
    </xf>
    <xf numFmtId="3" fontId="61" fillId="11" borderId="12" xfId="1" applyNumberFormat="1" applyFont="1" applyFill="1" applyBorder="1" applyAlignment="1">
      <alignment horizontal="right" vertical="center" wrapText="1" readingOrder="1"/>
    </xf>
    <xf numFmtId="3" fontId="46" fillId="11" borderId="12" xfId="0" applyNumberFormat="1" applyFont="1" applyFill="1" applyBorder="1" applyAlignment="1">
      <alignment horizontal="right" vertical="center" wrapText="1" readingOrder="1"/>
    </xf>
    <xf numFmtId="0" fontId="46" fillId="0" borderId="0" xfId="0" applyFont="1" applyAlignment="1">
      <alignment horizontal="left" vertical="center" wrapText="1" readingOrder="1"/>
    </xf>
    <xf numFmtId="3" fontId="44" fillId="0" borderId="0" xfId="0" applyNumberFormat="1" applyFont="1" applyAlignment="1">
      <alignment horizontal="right" vertical="center" wrapText="1" readingOrder="1"/>
    </xf>
    <xf numFmtId="0" fontId="62" fillId="0" borderId="0" xfId="0" applyFont="1" applyAlignment="1">
      <alignment horizontal="left" vertical="top" indent="1"/>
    </xf>
    <xf numFmtId="3" fontId="46" fillId="9" borderId="0" xfId="0" applyNumberFormat="1" applyFont="1" applyFill="1" applyAlignment="1">
      <alignment horizontal="center" vertical="center" wrapText="1" readingOrder="1"/>
    </xf>
    <xf numFmtId="9" fontId="56" fillId="9" borderId="0" xfId="0" applyNumberFormat="1" applyFont="1" applyFill="1" applyAlignment="1">
      <alignment horizontal="center" vertical="center" wrapText="1" readingOrder="1"/>
    </xf>
    <xf numFmtId="3" fontId="46" fillId="9" borderId="6" xfId="0" applyNumberFormat="1" applyFont="1" applyFill="1" applyBorder="1" applyAlignment="1">
      <alignment horizontal="center" vertical="center" wrapText="1" readingOrder="1"/>
    </xf>
    <xf numFmtId="3" fontId="44" fillId="9" borderId="0" xfId="0" applyNumberFormat="1" applyFont="1" applyFill="1" applyAlignment="1">
      <alignment horizontal="center" vertical="center" wrapText="1" readingOrder="1"/>
    </xf>
    <xf numFmtId="164" fontId="44" fillId="9" borderId="0" xfId="0" applyNumberFormat="1" applyFont="1" applyFill="1" applyAlignment="1">
      <alignment horizontal="center" vertical="center" wrapText="1" readingOrder="1"/>
    </xf>
    <xf numFmtId="164" fontId="46" fillId="8" borderId="0" xfId="0" applyNumberFormat="1" applyFont="1" applyFill="1" applyAlignment="1">
      <alignment horizontal="center" vertical="center" wrapText="1" readingOrder="1"/>
    </xf>
    <xf numFmtId="165" fontId="59" fillId="0" borderId="0" xfId="0" applyNumberFormat="1" applyFont="1" applyAlignment="1">
      <alignment horizontal="center" vertical="center" wrapText="1" readingOrder="1"/>
    </xf>
    <xf numFmtId="165" fontId="46" fillId="8" borderId="0" xfId="0" applyNumberFormat="1" applyFont="1" applyFill="1" applyAlignment="1">
      <alignment horizontal="center" vertical="center" wrapText="1" readingOrder="1"/>
    </xf>
    <xf numFmtId="165" fontId="46" fillId="8" borderId="6" xfId="0" applyNumberFormat="1" applyFont="1" applyFill="1" applyBorder="1" applyAlignment="1">
      <alignment horizontal="center" vertical="center" wrapText="1" readingOrder="1"/>
    </xf>
    <xf numFmtId="4" fontId="46" fillId="8" borderId="0" xfId="0" applyNumberFormat="1" applyFont="1" applyFill="1" applyAlignment="1">
      <alignment horizontal="center" vertical="center" wrapText="1" readingOrder="1"/>
    </xf>
    <xf numFmtId="0" fontId="44" fillId="11" borderId="5" xfId="0" applyFont="1" applyFill="1" applyBorder="1" applyAlignment="1">
      <alignment horizontal="left" vertical="center" wrapText="1" readingOrder="1"/>
    </xf>
    <xf numFmtId="3" fontId="44" fillId="11" borderId="5" xfId="0" applyNumberFormat="1" applyFont="1" applyFill="1" applyBorder="1" applyAlignment="1">
      <alignment horizontal="center" vertical="center" wrapText="1" readingOrder="1"/>
    </xf>
    <xf numFmtId="3" fontId="44" fillId="11" borderId="8" xfId="0" applyNumberFormat="1" applyFont="1" applyFill="1" applyBorder="1" applyAlignment="1">
      <alignment horizontal="center" vertical="center" wrapText="1" readingOrder="1"/>
    </xf>
    <xf numFmtId="3" fontId="44" fillId="10" borderId="5" xfId="0" applyNumberFormat="1" applyFont="1" applyFill="1" applyBorder="1" applyAlignment="1">
      <alignment horizontal="center" vertical="center" wrapText="1" readingOrder="1"/>
    </xf>
    <xf numFmtId="3" fontId="44" fillId="10" borderId="8" xfId="0" applyNumberFormat="1" applyFont="1" applyFill="1" applyBorder="1" applyAlignment="1">
      <alignment horizontal="center" vertical="center" wrapText="1" readingOrder="1"/>
    </xf>
    <xf numFmtId="0" fontId="63" fillId="0" borderId="3" xfId="0" applyFont="1" applyBorder="1" applyAlignment="1">
      <alignment vertical="center"/>
    </xf>
    <xf numFmtId="168" fontId="44" fillId="0" borderId="0" xfId="0" applyNumberFormat="1" applyFont="1" applyAlignment="1">
      <alignment horizontal="center" vertical="center"/>
    </xf>
    <xf numFmtId="169" fontId="44" fillId="0" borderId="0" xfId="0" applyNumberFormat="1" applyFont="1" applyAlignment="1">
      <alignment horizontal="center" vertical="center"/>
    </xf>
    <xf numFmtId="3" fontId="44" fillId="8" borderId="0" xfId="0" applyNumberFormat="1" applyFont="1" applyFill="1" applyAlignment="1">
      <alignment vertical="center"/>
    </xf>
    <xf numFmtId="0" fontId="46" fillId="8" borderId="4" xfId="0" applyFont="1" applyFill="1" applyBorder="1" applyAlignment="1">
      <alignment vertical="center"/>
    </xf>
    <xf numFmtId="167" fontId="46" fillId="8" borderId="4" xfId="0" applyNumberFormat="1" applyFont="1" applyFill="1" applyBorder="1" applyAlignment="1">
      <alignment horizontal="center" vertical="center"/>
    </xf>
    <xf numFmtId="0" fontId="46" fillId="8" borderId="0" xfId="0" applyFont="1" applyFill="1" applyAlignment="1">
      <alignment horizontal="left" vertical="center" wrapText="1" indent="1" readingOrder="1"/>
    </xf>
    <xf numFmtId="3" fontId="59" fillId="0" borderId="0" xfId="0" applyNumberFormat="1" applyFont="1" applyAlignment="1">
      <alignment horizontal="right" vertical="center" wrapText="1" readingOrder="1"/>
    </xf>
    <xf numFmtId="0" fontId="58" fillId="8" borderId="0" xfId="0" applyFont="1" applyFill="1" applyAlignment="1">
      <alignment horizontal="left" vertical="center" indent="1"/>
    </xf>
    <xf numFmtId="0" fontId="46" fillId="8" borderId="0" xfId="0" applyFont="1" applyFill="1" applyAlignment="1">
      <alignment vertical="center"/>
    </xf>
    <xf numFmtId="167" fontId="46" fillId="8" borderId="0" xfId="0" applyNumberFormat="1" applyFont="1" applyFill="1" applyAlignment="1">
      <alignment horizontal="center" vertical="center"/>
    </xf>
    <xf numFmtId="0" fontId="46" fillId="8" borderId="0" xfId="0" applyFont="1" applyFill="1" applyAlignment="1">
      <alignment horizontal="left" vertical="center" indent="1"/>
    </xf>
    <xf numFmtId="0" fontId="48" fillId="8" borderId="0" xfId="0" applyFont="1" applyFill="1" applyAlignment="1">
      <alignment vertical="center"/>
    </xf>
    <xf numFmtId="0" fontId="48" fillId="8" borderId="0" xfId="0" applyFont="1" applyFill="1" applyAlignment="1">
      <alignment horizontal="center" vertical="center"/>
    </xf>
    <xf numFmtId="3" fontId="46" fillId="8" borderId="0" xfId="0" applyNumberFormat="1" applyFont="1" applyFill="1" applyAlignment="1">
      <alignment vertical="center"/>
    </xf>
    <xf numFmtId="0" fontId="46" fillId="8" borderId="3" xfId="0" applyFont="1" applyFill="1" applyBorder="1" applyAlignment="1">
      <alignment vertical="center"/>
    </xf>
    <xf numFmtId="4" fontId="46" fillId="8" borderId="3" xfId="0" applyNumberFormat="1" applyFont="1" applyFill="1" applyBorder="1" applyAlignment="1">
      <alignment vertical="center"/>
    </xf>
    <xf numFmtId="167" fontId="46" fillId="8" borderId="3" xfId="0" applyNumberFormat="1" applyFont="1" applyFill="1" applyBorder="1" applyAlignment="1">
      <alignment horizontal="center" vertical="center"/>
    </xf>
    <xf numFmtId="0" fontId="44" fillId="0" borderId="3" xfId="0" applyFont="1" applyBorder="1" applyAlignment="1">
      <alignment horizontal="left" vertical="center" wrapText="1" readingOrder="1"/>
    </xf>
    <xf numFmtId="3" fontId="46" fillId="0" borderId="3" xfId="0" applyNumberFormat="1" applyFont="1" applyBorder="1" applyAlignment="1">
      <alignment horizontal="right" vertical="center" wrapText="1" readingOrder="1"/>
    </xf>
    <xf numFmtId="0" fontId="46" fillId="8" borderId="0" xfId="0" applyFont="1" applyFill="1" applyAlignment="1">
      <alignment horizontal="left" vertical="center" wrapText="1" readingOrder="1"/>
    </xf>
    <xf numFmtId="164" fontId="46" fillId="0" borderId="0" xfId="0" applyNumberFormat="1" applyFont="1" applyAlignment="1">
      <alignment horizontal="right" vertical="center" wrapText="1" readingOrder="1"/>
    </xf>
    <xf numFmtId="164" fontId="59" fillId="0" borderId="0" xfId="0" applyNumberFormat="1" applyFont="1" applyAlignment="1">
      <alignment horizontal="right" vertical="center" wrapText="1" readingOrder="1"/>
    </xf>
    <xf numFmtId="3" fontId="54" fillId="8" borderId="0" xfId="0" applyNumberFormat="1" applyFont="1" applyFill="1" applyAlignment="1">
      <alignment horizontal="left" vertical="center" indent="1"/>
    </xf>
    <xf numFmtId="166" fontId="54" fillId="8" borderId="0" xfId="0" applyNumberFormat="1" applyFont="1" applyFill="1" applyAlignment="1">
      <alignment horizontal="right" vertical="center" wrapText="1" readingOrder="1"/>
    </xf>
    <xf numFmtId="165" fontId="46" fillId="8" borderId="0" xfId="0" applyNumberFormat="1" applyFont="1" applyFill="1" applyAlignment="1">
      <alignment horizontal="right" vertical="center" wrapText="1" readingOrder="1"/>
    </xf>
    <xf numFmtId="0" fontId="44" fillId="11" borderId="2" xfId="0" applyFont="1" applyFill="1" applyBorder="1" applyAlignment="1">
      <alignment horizontal="left" vertical="center"/>
    </xf>
    <xf numFmtId="3" fontId="44" fillId="11" borderId="2" xfId="0" applyNumberFormat="1" applyFont="1" applyFill="1" applyBorder="1" applyAlignment="1">
      <alignment horizontal="right" vertical="center" wrapText="1" readingOrder="1"/>
    </xf>
    <xf numFmtId="9" fontId="54" fillId="9" borderId="0" xfId="0" applyNumberFormat="1" applyFont="1" applyFill="1" applyAlignment="1">
      <alignment horizontal="right" vertical="center" wrapText="1" readingOrder="1"/>
    </xf>
    <xf numFmtId="0" fontId="64" fillId="0" borderId="0" xfId="0" applyFont="1" applyAlignment="1">
      <alignment vertical="center"/>
    </xf>
    <xf numFmtId="3" fontId="66" fillId="0" borderId="0" xfId="0" applyNumberFormat="1" applyFont="1" applyAlignment="1">
      <alignment vertical="center"/>
    </xf>
    <xf numFmtId="164" fontId="48" fillId="0" borderId="0" xfId="0" applyNumberFormat="1" applyFont="1" applyAlignment="1">
      <alignment vertical="center"/>
    </xf>
    <xf numFmtId="0" fontId="65" fillId="0" borderId="0" xfId="0" applyFont="1" applyAlignment="1">
      <alignment vertical="center" textRotation="90"/>
    </xf>
    <xf numFmtId="1" fontId="48" fillId="0" borderId="0" xfId="0" applyNumberFormat="1" applyFont="1" applyAlignment="1">
      <alignment vertical="center"/>
    </xf>
    <xf numFmtId="3" fontId="67" fillId="0" borderId="0" xfId="0" applyNumberFormat="1" applyFont="1" applyAlignment="1">
      <alignment vertical="center"/>
    </xf>
    <xf numFmtId="3" fontId="68" fillId="0" borderId="0" xfId="0" applyNumberFormat="1" applyFont="1" applyAlignment="1">
      <alignment vertical="center"/>
    </xf>
    <xf numFmtId="164" fontId="63" fillId="0" borderId="0" xfId="0" applyNumberFormat="1" applyFont="1" applyAlignment="1">
      <alignment vertical="center"/>
    </xf>
    <xf numFmtId="164" fontId="69" fillId="0" borderId="0" xfId="0" applyNumberFormat="1" applyFont="1" applyAlignment="1">
      <alignment vertical="center"/>
    </xf>
    <xf numFmtId="0" fontId="52" fillId="0" borderId="0" xfId="0" applyFont="1" applyAlignment="1">
      <alignment vertical="center" textRotation="90"/>
    </xf>
    <xf numFmtId="3" fontId="48" fillId="0" borderId="0" xfId="0" applyNumberFormat="1" applyFont="1" applyAlignment="1">
      <alignment vertical="center"/>
    </xf>
    <xf numFmtId="0" fontId="71" fillId="0" borderId="25" xfId="2" applyFont="1" applyBorder="1" applyAlignment="1">
      <alignment horizontal="left" vertical="center" wrapText="1" indent="2"/>
    </xf>
    <xf numFmtId="0" fontId="49" fillId="0" borderId="0" xfId="2" applyFont="1"/>
    <xf numFmtId="0" fontId="47" fillId="0" borderId="3" xfId="0" applyFont="1" applyBorder="1" applyAlignment="1">
      <alignment horizontal="left" vertical="top" wrapText="1"/>
    </xf>
    <xf numFmtId="0" fontId="1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 readingOrder="1"/>
    </xf>
    <xf numFmtId="0" fontId="11" fillId="0" borderId="0" xfId="0" applyFont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72" fillId="12" borderId="0" xfId="3" applyFont="1" applyFill="1" applyAlignment="1">
      <alignment horizontal="center" vertical="center"/>
    </xf>
    <xf numFmtId="0" fontId="73" fillId="2" borderId="0" xfId="0" applyFont="1" applyFill="1" applyAlignment="1">
      <alignment vertical="center"/>
    </xf>
  </cellXfs>
  <cellStyles count="4">
    <cellStyle name="Hyperlink" xfId="3" builtinId="8"/>
    <cellStyle name="Normal" xfId="0" builtinId="0"/>
    <cellStyle name="Normal 2" xfId="2" xr:uid="{AE767BE7-5361-0A42-AAF6-3F5A3A7FB450}"/>
    <cellStyle name="Total" xfId="1" builtinId="25"/>
  </cellStyles>
  <dxfs count="0"/>
  <tableStyles count="0" defaultTableStyle="TableStyleMedium9" defaultPivotStyle="PivotStyleLight16"/>
  <colors>
    <mruColors>
      <color rgb="FF00BD32"/>
      <color rgb="FFEAEEF3"/>
      <color rgb="FF048EB0"/>
      <color rgb="FF4D4D4D"/>
      <color rgb="FFE6F9FE"/>
      <color rgb="FFBBF0FD"/>
      <color rgb="FF0099FF"/>
      <color rgb="FF1086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jp.smartsheet.com/try-it?trp=77760&amp;utm_language=JP&amp;utm_source=template-excel&amp;utm_medium=content&amp;utm_campaign=ic-Discounted+Cash+Flow+DCF+Valuation+Model-excel-77760-jp&amp;lpa=ic+Discounted+Cash+Flow+DCF+Valuation+Model+excel+77760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723900</xdr:colOff>
      <xdr:row>0</xdr:row>
      <xdr:rowOff>76200</xdr:rowOff>
    </xdr:from>
    <xdr:to>
      <xdr:col>13</xdr:col>
      <xdr:colOff>12700</xdr:colOff>
      <xdr:row>0</xdr:row>
      <xdr:rowOff>520700</xdr:rowOff>
    </xdr:to>
    <xdr:sp macro="" textlink="">
      <xdr:nvSpPr>
        <xdr:cNvPr id="2" name="Text 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4B59BB-741E-EE5C-E0CE-34A3DA6D1CE8}"/>
            </a:ext>
          </a:extLst>
        </xdr:cNvPr>
        <xdr:cNvSpPr txBox="1"/>
      </xdr:nvSpPr>
      <xdr:spPr>
        <a:xfrm>
          <a:off x="9029700" y="76200"/>
          <a:ext cx="2743200" cy="444500"/>
        </a:xfrm>
        <a:prstGeom prst="rect">
          <a:avLst/>
        </a:prstGeom>
        <a:solidFill>
          <a:srgbClr val="00BD32"/>
        </a:solidFill>
        <a:ln w="6350">
          <a:noFill/>
        </a:ln>
      </xdr:spPr>
      <xdr:txBody>
        <a:bodyPr rot="0" spcFirstLastPara="0" vertOverflow="clip" horzOverflow="clip" vert="horz" wrap="none" lIns="0" tIns="0" rIns="0" bIns="72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ja-JP" sz="1800" b="1" baseline="0">
              <a:solidFill>
                <a:srgbClr val="FFFFFF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Times New Roman" panose="02020603050405020304" pitchFamily="18" charset="0"/>
            </a:rPr>
            <a:t>Smartsheet 無料お試し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oles-and-Responsibilities-Template8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les &amp; Responsibilities - EX"/>
      <sheetName val="Roles &amp; Responsibilities BLANK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760&amp;utm_language=JP&amp;utm_source=template-excel&amp;utm_medium=content&amp;utm_campaign=ic-Discounted+Cash+Flow+DCF+Valuation+Model-excel-77760-jp&amp;lpa=ic+Discounted+Cash+Flow+DCF+Valuation+Model+excel+77760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3"/>
    <pageSetUpPr fitToPage="1"/>
  </sheetPr>
  <dimension ref="B1:EQ164"/>
  <sheetViews>
    <sheetView showGridLines="0" tabSelected="1" zoomScaleNormal="100" workbookViewId="0">
      <pane ySplit="1" topLeftCell="A2" activePane="bottomLeft" state="frozen"/>
      <selection pane="bottomLeft" activeCell="B1" sqref="B1"/>
    </sheetView>
  </sheetViews>
  <sheetFormatPr baseColWidth="10" defaultColWidth="13.5" defaultRowHeight="12" outlineLevelRow="1"/>
  <cols>
    <col min="1" max="1" width="3.33203125" style="20" customWidth="1"/>
    <col min="2" max="2" width="36.83203125" style="20" customWidth="1"/>
    <col min="3" max="3" width="11.5" style="20" customWidth="1"/>
    <col min="4" max="5" width="9.83203125" style="20" customWidth="1"/>
    <col min="6" max="6" width="11" style="20" customWidth="1"/>
    <col min="7" max="7" width="13.1640625" style="20" customWidth="1"/>
    <col min="8" max="11" width="9.83203125" style="20" customWidth="1"/>
    <col min="12" max="13" width="12.83203125" style="24" customWidth="1"/>
    <col min="14" max="14" width="3.5" style="20" customWidth="1"/>
    <col min="15" max="19" width="7" style="20" customWidth="1"/>
    <col min="20" max="20" width="6.83203125" style="20" customWidth="1"/>
    <col min="21" max="16384" width="13.5" style="20"/>
  </cols>
  <sheetData>
    <row r="1" spans="2:147" s="58" customFormat="1" ht="50" customHeight="1">
      <c r="B1" s="266" t="s">
        <v>101</v>
      </c>
      <c r="C1" s="62"/>
      <c r="D1" s="62"/>
      <c r="E1" s="63"/>
      <c r="F1" s="63"/>
      <c r="G1" s="63"/>
      <c r="H1" s="63"/>
      <c r="I1" s="63"/>
      <c r="J1" s="63"/>
      <c r="K1" s="63"/>
      <c r="L1" s="63"/>
      <c r="M1" s="63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  <c r="CS1" s="59"/>
      <c r="CT1" s="59"/>
      <c r="CU1" s="59"/>
      <c r="CV1" s="59"/>
      <c r="CW1" s="59"/>
      <c r="CX1" s="59"/>
      <c r="CY1" s="59"/>
      <c r="CZ1" s="59"/>
      <c r="DA1" s="59"/>
      <c r="DB1" s="59"/>
      <c r="DC1" s="59"/>
      <c r="DD1" s="59"/>
      <c r="DE1" s="59"/>
      <c r="DF1" s="59"/>
      <c r="DG1" s="59"/>
      <c r="DH1" s="59"/>
      <c r="DI1" s="59"/>
      <c r="DJ1" s="59"/>
      <c r="DK1" s="59"/>
      <c r="DL1" s="59"/>
      <c r="DM1" s="59"/>
      <c r="DN1" s="59"/>
      <c r="DO1" s="59"/>
      <c r="DP1" s="59"/>
      <c r="DQ1" s="59"/>
      <c r="DR1" s="59"/>
      <c r="DS1" s="59"/>
      <c r="DT1" s="59"/>
      <c r="DU1" s="59"/>
      <c r="DV1" s="59"/>
      <c r="DW1" s="59"/>
      <c r="DX1" s="59"/>
      <c r="DY1" s="59"/>
      <c r="DZ1" s="59"/>
      <c r="EA1" s="59"/>
      <c r="EB1" s="59"/>
      <c r="EC1" s="59"/>
      <c r="ED1" s="59"/>
      <c r="EE1" s="59"/>
      <c r="EF1" s="59"/>
      <c r="EG1" s="59"/>
      <c r="EH1" s="59"/>
      <c r="EI1" s="59"/>
      <c r="EJ1" s="59"/>
      <c r="EK1" s="59"/>
      <c r="EL1" s="59"/>
      <c r="EM1" s="59"/>
      <c r="EN1" s="59"/>
      <c r="EO1" s="59"/>
      <c r="EP1" s="59"/>
      <c r="EQ1" s="59"/>
    </row>
    <row r="2" spans="2:147" s="22" customFormat="1" ht="25" customHeight="1">
      <c r="B2" s="64" t="s">
        <v>11</v>
      </c>
      <c r="C2" s="65"/>
      <c r="D2" s="66"/>
      <c r="E2" s="65"/>
      <c r="F2" s="65"/>
      <c r="G2" s="65"/>
      <c r="H2" s="65"/>
      <c r="I2" s="65"/>
      <c r="J2" s="67"/>
      <c r="K2" s="67"/>
      <c r="L2" s="67"/>
      <c r="M2" s="67"/>
    </row>
    <row r="3" spans="2:147" s="22" customFormat="1" ht="45" customHeight="1">
      <c r="B3" s="259" t="s">
        <v>12</v>
      </c>
      <c r="C3" s="259"/>
      <c r="D3" s="67"/>
      <c r="E3" s="65"/>
      <c r="F3" s="65"/>
      <c r="G3" s="65"/>
      <c r="H3" s="65"/>
      <c r="I3" s="65"/>
      <c r="J3" s="67"/>
      <c r="K3" s="67"/>
      <c r="L3" s="67"/>
      <c r="M3" s="67"/>
    </row>
    <row r="4" spans="2:147" s="25" customFormat="1" ht="25" customHeight="1">
      <c r="B4" s="68" t="s">
        <v>13</v>
      </c>
      <c r="C4" s="69">
        <v>2019</v>
      </c>
      <c r="D4" s="70"/>
      <c r="E4" s="70"/>
      <c r="F4" s="70"/>
      <c r="G4" s="70"/>
      <c r="H4" s="70"/>
      <c r="I4" s="70"/>
      <c r="J4" s="70"/>
      <c r="K4" s="70"/>
      <c r="L4" s="70"/>
      <c r="M4" s="70"/>
    </row>
    <row r="5" spans="2:147" s="25" customFormat="1" ht="25" customHeight="1" thickBot="1">
      <c r="B5" s="71" t="s">
        <v>14</v>
      </c>
      <c r="C5" s="72">
        <v>0.22</v>
      </c>
      <c r="D5" s="70"/>
      <c r="E5" s="70"/>
      <c r="F5" s="70"/>
      <c r="G5" s="70"/>
      <c r="H5" s="70"/>
      <c r="I5" s="70"/>
      <c r="J5" s="70"/>
      <c r="K5" s="70"/>
      <c r="L5" s="70"/>
      <c r="M5" s="70"/>
    </row>
    <row r="6" spans="2:147" ht="15" customHeight="1">
      <c r="B6" s="73"/>
      <c r="C6" s="73"/>
      <c r="D6" s="74"/>
      <c r="E6" s="73"/>
      <c r="F6" s="73"/>
      <c r="G6" s="73"/>
      <c r="H6" s="73"/>
      <c r="I6" s="73"/>
      <c r="J6" s="73"/>
      <c r="K6" s="73"/>
      <c r="L6" s="73"/>
      <c r="M6" s="75"/>
    </row>
    <row r="7" spans="2:147" s="22" customFormat="1" ht="25" customHeight="1">
      <c r="B7" s="64" t="s">
        <v>15</v>
      </c>
      <c r="C7" s="65"/>
      <c r="D7" s="65"/>
      <c r="E7" s="65"/>
      <c r="F7" s="65"/>
      <c r="G7" s="65"/>
      <c r="H7" s="65"/>
      <c r="I7" s="65"/>
      <c r="J7" s="67"/>
      <c r="K7" s="67"/>
      <c r="L7" s="67"/>
      <c r="M7" s="67"/>
    </row>
    <row r="8" spans="2:147" s="34" customFormat="1" ht="18" customHeight="1">
      <c r="B8" s="73"/>
      <c r="C8" s="76" t="s">
        <v>16</v>
      </c>
      <c r="D8" s="76"/>
      <c r="E8" s="76"/>
      <c r="F8" s="77"/>
      <c r="G8" s="78" t="s">
        <v>17</v>
      </c>
      <c r="H8" s="79"/>
      <c r="I8" s="79"/>
      <c r="J8" s="80"/>
      <c r="K8" s="81"/>
      <c r="L8" s="82" t="s">
        <v>4</v>
      </c>
      <c r="M8" s="82" t="s">
        <v>4</v>
      </c>
    </row>
    <row r="9" spans="2:147" s="34" customFormat="1" ht="18" customHeight="1">
      <c r="B9" s="73"/>
      <c r="C9" s="83">
        <f t="shared" ref="C9:D9" si="0">D9-1</f>
        <v>2016</v>
      </c>
      <c r="D9" s="83">
        <f t="shared" si="0"/>
        <v>2017</v>
      </c>
      <c r="E9" s="83">
        <f>F9-1</f>
        <v>2018</v>
      </c>
      <c r="F9" s="84">
        <f>'割引キャッシュ フロー - EX'!C4</f>
        <v>2019</v>
      </c>
      <c r="G9" s="85">
        <f>F9+1</f>
        <v>2020</v>
      </c>
      <c r="H9" s="85">
        <f>G9+1</f>
        <v>2021</v>
      </c>
      <c r="I9" s="85">
        <f t="shared" ref="I9:K9" si="1">H9+1</f>
        <v>2022</v>
      </c>
      <c r="J9" s="85">
        <f t="shared" si="1"/>
        <v>2023</v>
      </c>
      <c r="K9" s="86">
        <f t="shared" si="1"/>
        <v>2024</v>
      </c>
      <c r="L9" s="87" t="str">
        <f>C9&amp;"-"&amp;F9&amp;"A"</f>
        <v>2016-2019A</v>
      </c>
      <c r="M9" s="87" t="str">
        <f>G9&amp;"-"&amp;K9&amp;"E"</f>
        <v>2020-2024E</v>
      </c>
    </row>
    <row r="10" spans="2:147" s="34" customFormat="1" ht="18" customHeight="1">
      <c r="B10" s="88" t="s">
        <v>18</v>
      </c>
      <c r="C10" s="89">
        <v>5500</v>
      </c>
      <c r="D10" s="89">
        <v>4500</v>
      </c>
      <c r="E10" s="89">
        <v>5000</v>
      </c>
      <c r="F10" s="90">
        <v>5500</v>
      </c>
      <c r="G10" s="91">
        <f>F10*(1+G11)</f>
        <v>6105.0000000000009</v>
      </c>
      <c r="H10" s="91">
        <f t="shared" ref="H10:K10" si="2">G10*(1+H11)</f>
        <v>6715.5000000000018</v>
      </c>
      <c r="I10" s="91">
        <f t="shared" si="2"/>
        <v>7319.8950000000023</v>
      </c>
      <c r="J10" s="91">
        <f t="shared" si="2"/>
        <v>7905.4866000000029</v>
      </c>
      <c r="K10" s="92">
        <f t="shared" si="2"/>
        <v>8458.870662000003</v>
      </c>
      <c r="L10" s="93">
        <f>(F10/C10)^(1/3)-1</f>
        <v>0</v>
      </c>
      <c r="M10" s="93">
        <f>(K10/G10)^(1/4)-1</f>
        <v>8.4942392826583557E-2</v>
      </c>
    </row>
    <row r="11" spans="2:147" s="34" customFormat="1" ht="18" customHeight="1">
      <c r="B11" s="94" t="s">
        <v>19</v>
      </c>
      <c r="C11" s="93"/>
      <c r="D11" s="93">
        <f>(D10/C10)-1</f>
        <v>-0.18181818181818177</v>
      </c>
      <c r="E11" s="93">
        <f>(E10/D10)-1</f>
        <v>0.11111111111111116</v>
      </c>
      <c r="F11" s="95">
        <f>(F10/E10)-1</f>
        <v>0.10000000000000009</v>
      </c>
      <c r="G11" s="96">
        <v>0.11</v>
      </c>
      <c r="H11" s="97">
        <f>G11-1%</f>
        <v>0.1</v>
      </c>
      <c r="I11" s="97">
        <f t="shared" ref="I11:K11" si="3">H11-1%</f>
        <v>9.0000000000000011E-2</v>
      </c>
      <c r="J11" s="97">
        <f t="shared" si="3"/>
        <v>8.0000000000000016E-2</v>
      </c>
      <c r="K11" s="98">
        <f t="shared" si="3"/>
        <v>7.0000000000000021E-2</v>
      </c>
      <c r="L11" s="93"/>
      <c r="M11" s="93"/>
    </row>
    <row r="12" spans="2:147" s="34" customFormat="1" ht="18" customHeight="1">
      <c r="B12" s="99" t="s">
        <v>6</v>
      </c>
      <c r="C12" s="100">
        <v>-2000</v>
      </c>
      <c r="D12" s="100">
        <v>-2000</v>
      </c>
      <c r="E12" s="100">
        <v>-2000</v>
      </c>
      <c r="F12" s="101">
        <v>-3000</v>
      </c>
      <c r="G12" s="102">
        <f>-(G10-G13)</f>
        <v>-4746.7558321666675</v>
      </c>
      <c r="H12" s="102">
        <f>-(H10-H13)</f>
        <v>-5221.4314153833348</v>
      </c>
      <c r="I12" s="102">
        <f>-(I10-I13)</f>
        <v>-5691.3602427678352</v>
      </c>
      <c r="J12" s="102">
        <f>-(J10-J13)</f>
        <v>-6146.6690621892621</v>
      </c>
      <c r="K12" s="103">
        <f>-(K10-K13)</f>
        <v>-6576.9358965425108</v>
      </c>
      <c r="L12" s="104">
        <f>IFERROR((F12/C12)^(1/3)-1,"N/A")</f>
        <v>0.14471424255333187</v>
      </c>
      <c r="M12" s="104">
        <f>IFERROR((K12/G12)^(1/4)-1,"N/A")</f>
        <v>8.4942392826583557E-2</v>
      </c>
    </row>
    <row r="13" spans="2:147" s="34" customFormat="1" ht="18" customHeight="1">
      <c r="B13" s="105" t="s">
        <v>20</v>
      </c>
      <c r="C13" s="106">
        <v>857.03700000000003</v>
      </c>
      <c r="D13" s="106">
        <v>1052.5894999999998</v>
      </c>
      <c r="E13" s="106">
        <v>1271.713</v>
      </c>
      <c r="F13" s="107">
        <v>1352.154</v>
      </c>
      <c r="G13" s="108">
        <f>G14*G10</f>
        <v>1358.2441678333334</v>
      </c>
      <c r="H13" s="108">
        <f>H14*H10</f>
        <v>1494.0685846166671</v>
      </c>
      <c r="I13" s="108">
        <f>I14*I10</f>
        <v>1628.5347572321671</v>
      </c>
      <c r="J13" s="108">
        <f>J14*J10</f>
        <v>1758.8175378107405</v>
      </c>
      <c r="K13" s="109">
        <f>K14*K10</f>
        <v>1881.9347654574924</v>
      </c>
      <c r="L13" s="110">
        <f>IFERROR((F13/C13)^(1/3)-1,"N/A")</f>
        <v>0.16414978383876488</v>
      </c>
      <c r="M13" s="110">
        <f>IFERROR((K13/G13)^(1/4)-1,"N/A")</f>
        <v>8.4942392826583557E-2</v>
      </c>
    </row>
    <row r="14" spans="2:147" s="34" customFormat="1" ht="18" customHeight="1">
      <c r="B14" s="111" t="s">
        <v>21</v>
      </c>
      <c r="C14" s="93">
        <f>C13/C10</f>
        <v>0.1558249090909091</v>
      </c>
      <c r="D14" s="93">
        <f>D13/D10</f>
        <v>0.23390877777777774</v>
      </c>
      <c r="E14" s="93">
        <f>E13/E10</f>
        <v>0.25434259999999997</v>
      </c>
      <c r="F14" s="95">
        <f>F13/F10</f>
        <v>0.24584618181818182</v>
      </c>
      <c r="G14" s="112">
        <f>AVERAGE(C14:F14)</f>
        <v>0.22248061717171716</v>
      </c>
      <c r="H14" s="97">
        <f>G14</f>
        <v>0.22248061717171716</v>
      </c>
      <c r="I14" s="97">
        <f t="shared" ref="I14:K14" si="4">H14</f>
        <v>0.22248061717171716</v>
      </c>
      <c r="J14" s="97">
        <f t="shared" si="4"/>
        <v>0.22248061717171716</v>
      </c>
      <c r="K14" s="98">
        <f t="shared" si="4"/>
        <v>0.22248061717171716</v>
      </c>
      <c r="L14" s="93"/>
      <c r="M14" s="93"/>
    </row>
    <row r="15" spans="2:147" s="34" customFormat="1" ht="18" customHeight="1">
      <c r="B15" s="99" t="s">
        <v>5</v>
      </c>
      <c r="C15" s="89">
        <v>-220</v>
      </c>
      <c r="D15" s="89">
        <v>-225</v>
      </c>
      <c r="E15" s="89">
        <v>-230</v>
      </c>
      <c r="F15" s="90">
        <v>-235</v>
      </c>
      <c r="G15" s="91">
        <f>F15*(1+G16)</f>
        <v>-244.4</v>
      </c>
      <c r="H15" s="91">
        <f t="shared" ref="H15:K15" si="5">G15*(1+H16)</f>
        <v>-253.68720000000002</v>
      </c>
      <c r="I15" s="91">
        <f t="shared" si="5"/>
        <v>-262.84530792000004</v>
      </c>
      <c r="J15" s="91">
        <f t="shared" si="5"/>
        <v>-271.85958775511642</v>
      </c>
      <c r="K15" s="92">
        <f t="shared" si="5"/>
        <v>-280.7168410890751</v>
      </c>
      <c r="L15" s="104">
        <f>IFERROR((F15/C15)^(1/3)-1,"N/A")</f>
        <v>2.2229462182910442E-2</v>
      </c>
      <c r="M15" s="104">
        <f>IFERROR((K15/G15)^(1/4)-1,"N/A")</f>
        <v>3.5241841550752939E-2</v>
      </c>
    </row>
    <row r="16" spans="2:147" s="34" customFormat="1" ht="18" customHeight="1">
      <c r="B16" s="111" t="s">
        <v>19</v>
      </c>
      <c r="C16" s="93"/>
      <c r="D16" s="93">
        <f>(D15/C15)-1</f>
        <v>2.2727272727272707E-2</v>
      </c>
      <c r="E16" s="93">
        <f>(E15/D15)-1</f>
        <v>2.2222222222222143E-2</v>
      </c>
      <c r="F16" s="95">
        <f>(F15/E15)-1</f>
        <v>2.1739130434782705E-2</v>
      </c>
      <c r="G16" s="112">
        <v>0.04</v>
      </c>
      <c r="H16" s="112">
        <f>G16*0.95</f>
        <v>3.7999999999999999E-2</v>
      </c>
      <c r="I16" s="112">
        <f t="shared" ref="I16:K16" si="6">H16*0.95</f>
        <v>3.61E-2</v>
      </c>
      <c r="J16" s="112">
        <f t="shared" si="6"/>
        <v>3.4294999999999999E-2</v>
      </c>
      <c r="K16" s="113">
        <f t="shared" si="6"/>
        <v>3.2580249999999998E-2</v>
      </c>
      <c r="L16" s="93"/>
      <c r="M16" s="93"/>
    </row>
    <row r="17" spans="2:13" s="38" customFormat="1" ht="18" customHeight="1">
      <c r="B17" s="94" t="s">
        <v>22</v>
      </c>
      <c r="C17" s="93">
        <f t="shared" ref="C17:K17" si="7">-C15/C10</f>
        <v>0.04</v>
      </c>
      <c r="D17" s="93">
        <f t="shared" si="7"/>
        <v>0.05</v>
      </c>
      <c r="E17" s="93">
        <f t="shared" si="7"/>
        <v>4.5999999999999999E-2</v>
      </c>
      <c r="F17" s="95">
        <f t="shared" si="7"/>
        <v>4.2727272727272725E-2</v>
      </c>
      <c r="G17" s="114">
        <f t="shared" si="7"/>
        <v>4.0032760032760024E-2</v>
      </c>
      <c r="H17" s="114">
        <f t="shared" si="7"/>
        <v>3.7776368103640823E-2</v>
      </c>
      <c r="I17" s="114">
        <f t="shared" si="7"/>
        <v>3.5908344029525009E-2</v>
      </c>
      <c r="J17" s="114">
        <f t="shared" si="7"/>
        <v>3.4388722859275522E-2</v>
      </c>
      <c r="K17" s="115">
        <f t="shared" si="7"/>
        <v>3.318608976374901E-2</v>
      </c>
      <c r="L17" s="93"/>
      <c r="M17" s="93"/>
    </row>
    <row r="18" spans="2:13" s="34" customFormat="1" ht="18" customHeight="1">
      <c r="B18" s="116" t="s">
        <v>23</v>
      </c>
      <c r="C18" s="117">
        <f t="shared" ref="C18:K18" si="8">C15+C12</f>
        <v>-2220</v>
      </c>
      <c r="D18" s="117">
        <f t="shared" si="8"/>
        <v>-2225</v>
      </c>
      <c r="E18" s="117">
        <f t="shared" si="8"/>
        <v>-2230</v>
      </c>
      <c r="F18" s="118">
        <f t="shared" si="8"/>
        <v>-3235</v>
      </c>
      <c r="G18" s="119">
        <f t="shared" si="8"/>
        <v>-4991.1558321666671</v>
      </c>
      <c r="H18" s="119">
        <f t="shared" si="8"/>
        <v>-5475.1186153833351</v>
      </c>
      <c r="I18" s="119">
        <f t="shared" si="8"/>
        <v>-5954.2055506878351</v>
      </c>
      <c r="J18" s="119">
        <f t="shared" si="8"/>
        <v>-6418.5286499443782</v>
      </c>
      <c r="K18" s="120">
        <f t="shared" si="8"/>
        <v>-6857.6527376315862</v>
      </c>
      <c r="L18" s="121">
        <f>(F18/C18)^(1/3)-1</f>
        <v>0.13372338164890984</v>
      </c>
      <c r="M18" s="121">
        <f>(K18/G18)^(1/4)-1</f>
        <v>8.2663735215314338E-2</v>
      </c>
    </row>
    <row r="19" spans="2:13" s="34" customFormat="1" ht="18" customHeight="1">
      <c r="B19" s="111" t="s">
        <v>19</v>
      </c>
      <c r="C19" s="93"/>
      <c r="D19" s="93">
        <f>(D18/C18)-1</f>
        <v>2.2522522522523403E-3</v>
      </c>
      <c r="E19" s="93">
        <f>(E18/D18)-1</f>
        <v>2.2471910112360494E-3</v>
      </c>
      <c r="F19" s="95">
        <f>(F18/E18)-1</f>
        <v>0.45067264573991039</v>
      </c>
      <c r="G19" s="114">
        <f t="shared" ref="G19:K19" si="9">(G18/F18)-1</f>
        <v>0.54286115368366827</v>
      </c>
      <c r="H19" s="114">
        <f t="shared" si="9"/>
        <v>9.6964069945012943E-2</v>
      </c>
      <c r="I19" s="114">
        <f t="shared" si="9"/>
        <v>8.7502567334051706E-2</v>
      </c>
      <c r="J19" s="114">
        <f t="shared" si="9"/>
        <v>7.7982376541049003E-2</v>
      </c>
      <c r="K19" s="115">
        <f t="shared" si="9"/>
        <v>6.8415070125302568E-2</v>
      </c>
      <c r="L19" s="93"/>
      <c r="M19" s="93"/>
    </row>
    <row r="20" spans="2:13" s="34" customFormat="1" ht="18" customHeight="1">
      <c r="B20" s="116" t="s">
        <v>0</v>
      </c>
      <c r="C20" s="122">
        <f t="shared" ref="C20:K20" si="10">C18+C10</f>
        <v>3280</v>
      </c>
      <c r="D20" s="122">
        <f t="shared" si="10"/>
        <v>2275</v>
      </c>
      <c r="E20" s="122">
        <f t="shared" si="10"/>
        <v>2770</v>
      </c>
      <c r="F20" s="123">
        <f t="shared" si="10"/>
        <v>2265</v>
      </c>
      <c r="G20" s="124">
        <f t="shared" si="10"/>
        <v>1113.8441678333338</v>
      </c>
      <c r="H20" s="124">
        <f t="shared" si="10"/>
        <v>1240.3813846166668</v>
      </c>
      <c r="I20" s="124">
        <f t="shared" si="10"/>
        <v>1365.6894493121672</v>
      </c>
      <c r="J20" s="124">
        <f t="shared" si="10"/>
        <v>1486.9579500556247</v>
      </c>
      <c r="K20" s="125">
        <f t="shared" si="10"/>
        <v>1601.2179243684168</v>
      </c>
      <c r="L20" s="121">
        <f>(F20/C20)^(1/3)-1</f>
        <v>-0.11611020271494821</v>
      </c>
      <c r="M20" s="121">
        <f>(K20/G20)^(1/4)-1</f>
        <v>9.498079465200493E-2</v>
      </c>
    </row>
    <row r="21" spans="2:13" s="34" customFormat="1" ht="18" customHeight="1">
      <c r="B21" s="111" t="s">
        <v>21</v>
      </c>
      <c r="C21" s="93">
        <f t="shared" ref="C21:K21" si="11">C20/C10</f>
        <v>0.59636363636363632</v>
      </c>
      <c r="D21" s="93">
        <f t="shared" si="11"/>
        <v>0.50555555555555554</v>
      </c>
      <c r="E21" s="93">
        <f t="shared" si="11"/>
        <v>0.55400000000000005</v>
      </c>
      <c r="F21" s="95">
        <f t="shared" si="11"/>
        <v>0.41181818181818181</v>
      </c>
      <c r="G21" s="114">
        <f t="shared" si="11"/>
        <v>0.1824478571389572</v>
      </c>
      <c r="H21" s="114">
        <f t="shared" si="11"/>
        <v>0.18470424906807631</v>
      </c>
      <c r="I21" s="114">
        <f t="shared" si="11"/>
        <v>0.18657227314219219</v>
      </c>
      <c r="J21" s="114">
        <f t="shared" si="11"/>
        <v>0.18809189431244172</v>
      </c>
      <c r="K21" s="115">
        <f t="shared" si="11"/>
        <v>0.18929452740796809</v>
      </c>
      <c r="L21" s="93"/>
      <c r="M21" s="93"/>
    </row>
    <row r="22" spans="2:13" s="34" customFormat="1" ht="18" customHeight="1">
      <c r="B22" s="88" t="s">
        <v>24</v>
      </c>
      <c r="C22" s="89">
        <v>-60</v>
      </c>
      <c r="D22" s="89">
        <v>-70</v>
      </c>
      <c r="E22" s="89">
        <v>-65</v>
      </c>
      <c r="F22" s="90">
        <v>-77</v>
      </c>
      <c r="G22" s="126">
        <f>-G10*G23</f>
        <v>-81.600416666666675</v>
      </c>
      <c r="H22" s="126">
        <f>-H10*H23</f>
        <v>-89.760458333333361</v>
      </c>
      <c r="I22" s="126">
        <f>-I10*I23</f>
        <v>-97.838899583333358</v>
      </c>
      <c r="J22" s="126">
        <f>-J10*J23</f>
        <v>-105.66601155000004</v>
      </c>
      <c r="K22" s="127">
        <f>-K10*K23</f>
        <v>-113.06263235850004</v>
      </c>
      <c r="L22" s="104">
        <f>IFERROR((F22/C22)^(1/3)-1,"N/A")</f>
        <v>8.6708735788776581E-2</v>
      </c>
      <c r="M22" s="104">
        <f>IFERROR((K22/G22)^(1/4)-1,"N/A")</f>
        <v>8.4942392826583557E-2</v>
      </c>
    </row>
    <row r="23" spans="2:13" s="38" customFormat="1" ht="18" customHeight="1">
      <c r="B23" s="94" t="s">
        <v>22</v>
      </c>
      <c r="C23" s="93">
        <f>-(C22/C10)</f>
        <v>1.090909090909091E-2</v>
      </c>
      <c r="D23" s="93">
        <f>-(D22/D10)</f>
        <v>1.5555555555555555E-2</v>
      </c>
      <c r="E23" s="93">
        <f>-(E22/E10)</f>
        <v>1.2999999999999999E-2</v>
      </c>
      <c r="F23" s="95">
        <f>-(F22/F10)</f>
        <v>1.4E-2</v>
      </c>
      <c r="G23" s="112">
        <f>AVERAGE(C23:F23)</f>
        <v>1.3366161616161616E-2</v>
      </c>
      <c r="H23" s="112">
        <f>G23</f>
        <v>1.3366161616161616E-2</v>
      </c>
      <c r="I23" s="112">
        <f t="shared" ref="I23:K23" si="12">H23</f>
        <v>1.3366161616161616E-2</v>
      </c>
      <c r="J23" s="112">
        <f t="shared" si="12"/>
        <v>1.3366161616161616E-2</v>
      </c>
      <c r="K23" s="113">
        <f t="shared" si="12"/>
        <v>1.3366161616161616E-2</v>
      </c>
      <c r="L23" s="93"/>
      <c r="M23" s="93"/>
    </row>
    <row r="24" spans="2:13" ht="15" customHeight="1">
      <c r="B24" s="73"/>
      <c r="C24" s="73"/>
      <c r="D24" s="74"/>
      <c r="E24" s="73"/>
      <c r="F24" s="73"/>
      <c r="G24" s="73"/>
      <c r="H24" s="73"/>
      <c r="I24" s="73"/>
      <c r="J24" s="73"/>
      <c r="K24" s="73"/>
      <c r="L24" s="73"/>
      <c r="M24" s="75"/>
    </row>
    <row r="25" spans="2:13" s="22" customFormat="1" ht="25" customHeight="1" outlineLevel="1">
      <c r="B25" s="128" t="s">
        <v>25</v>
      </c>
      <c r="C25" s="65"/>
      <c r="D25" s="65"/>
      <c r="E25" s="65"/>
      <c r="F25" s="65"/>
      <c r="G25" s="65"/>
      <c r="H25" s="65"/>
      <c r="I25" s="65"/>
      <c r="J25" s="67"/>
      <c r="K25" s="67"/>
      <c r="L25" s="67"/>
      <c r="M25" s="67"/>
    </row>
    <row r="26" spans="2:13" s="22" customFormat="1" ht="25" customHeight="1" outlineLevel="1">
      <c r="B26" s="129" t="s">
        <v>26</v>
      </c>
      <c r="C26" s="65"/>
      <c r="D26" s="65"/>
      <c r="E26" s="65"/>
      <c r="F26" s="65"/>
      <c r="G26" s="65"/>
      <c r="H26" s="65"/>
      <c r="I26" s="65"/>
      <c r="J26" s="67"/>
      <c r="K26" s="67"/>
      <c r="L26" s="67"/>
      <c r="M26" s="67"/>
    </row>
    <row r="27" spans="2:13" s="22" customFormat="1" ht="18" customHeight="1" outlineLevel="1">
      <c r="B27" s="130" t="s">
        <v>27</v>
      </c>
      <c r="C27" s="65"/>
      <c r="D27" s="65"/>
      <c r="E27" s="65"/>
      <c r="F27" s="65"/>
      <c r="G27" s="65"/>
      <c r="H27" s="65"/>
      <c r="I27" s="65"/>
      <c r="J27" s="67"/>
      <c r="K27" s="67"/>
      <c r="L27" s="67"/>
      <c r="M27" s="67"/>
    </row>
    <row r="28" spans="2:13" s="32" customFormat="1" ht="45" customHeight="1" outlineLevel="1">
      <c r="B28" s="131" t="s">
        <v>28</v>
      </c>
      <c r="C28" s="132" t="s">
        <v>29</v>
      </c>
      <c r="D28" s="132" t="s">
        <v>30</v>
      </c>
      <c r="E28" s="132" t="s">
        <v>31</v>
      </c>
      <c r="F28" s="132" t="s">
        <v>32</v>
      </c>
      <c r="G28" s="132" t="s">
        <v>33</v>
      </c>
      <c r="H28" s="132" t="s">
        <v>34</v>
      </c>
      <c r="I28" s="132" t="s">
        <v>35</v>
      </c>
      <c r="J28" s="133"/>
      <c r="K28" s="133"/>
      <c r="L28" s="133"/>
      <c r="M28" s="133"/>
    </row>
    <row r="29" spans="2:13" s="32" customFormat="1" ht="18" customHeight="1" outlineLevel="1">
      <c r="B29" s="134" t="s">
        <v>36</v>
      </c>
      <c r="C29" s="135">
        <v>1.1299999999999999</v>
      </c>
      <c r="D29" s="135">
        <v>600</v>
      </c>
      <c r="E29" s="136">
        <v>980</v>
      </c>
      <c r="F29" s="137">
        <f>D29/E29</f>
        <v>0.61224489795918369</v>
      </c>
      <c r="G29" s="137">
        <f>E29/(D29+E29)</f>
        <v>0.620253164556962</v>
      </c>
      <c r="H29" s="138">
        <v>0.22</v>
      </c>
      <c r="I29" s="139">
        <f>C29/(1+(F29)*(1-H29))</f>
        <v>0.76477900552486178</v>
      </c>
      <c r="J29" s="133"/>
      <c r="K29" s="133"/>
      <c r="L29" s="133"/>
      <c r="M29" s="133"/>
    </row>
    <row r="30" spans="2:13" s="32" customFormat="1" ht="18" customHeight="1" outlineLevel="1">
      <c r="B30" s="140" t="s">
        <v>37</v>
      </c>
      <c r="C30" s="135">
        <v>1.48</v>
      </c>
      <c r="D30" s="135">
        <v>500</v>
      </c>
      <c r="E30" s="136">
        <v>880</v>
      </c>
      <c r="F30" s="137">
        <f>D30/E30</f>
        <v>0.56818181818181823</v>
      </c>
      <c r="G30" s="137">
        <f>E30/(D30+E30)</f>
        <v>0.6376811594202898</v>
      </c>
      <c r="H30" s="138">
        <v>0.22</v>
      </c>
      <c r="I30" s="139">
        <f>C30/(1+(F30)*(1-H30))</f>
        <v>1.0255118110236219</v>
      </c>
      <c r="J30" s="133"/>
      <c r="K30" s="133"/>
      <c r="L30" s="133"/>
      <c r="M30" s="133"/>
    </row>
    <row r="31" spans="2:13" s="32" customFormat="1" ht="18" customHeight="1" outlineLevel="1">
      <c r="B31" s="140" t="s">
        <v>38</v>
      </c>
      <c r="C31" s="135">
        <v>1.52</v>
      </c>
      <c r="D31" s="135">
        <v>400</v>
      </c>
      <c r="E31" s="136">
        <v>780</v>
      </c>
      <c r="F31" s="137">
        <f>D31/E31</f>
        <v>0.51282051282051277</v>
      </c>
      <c r="G31" s="137">
        <f>E31/(D31+E31)</f>
        <v>0.66101694915254239</v>
      </c>
      <c r="H31" s="138">
        <v>0.22</v>
      </c>
      <c r="I31" s="139">
        <f>C31/(1+(F31)*(1-H31))</f>
        <v>1.0857142857142859</v>
      </c>
      <c r="J31" s="133"/>
      <c r="K31" s="133"/>
      <c r="L31" s="133"/>
      <c r="M31" s="133"/>
    </row>
    <row r="32" spans="2:13" s="32" customFormat="1" ht="18" customHeight="1" outlineLevel="1">
      <c r="B32" s="140" t="s">
        <v>39</v>
      </c>
      <c r="C32" s="135">
        <v>1.17</v>
      </c>
      <c r="D32" s="135">
        <v>300</v>
      </c>
      <c r="E32" s="136">
        <v>680</v>
      </c>
      <c r="F32" s="137">
        <f>D32/E32</f>
        <v>0.44117647058823528</v>
      </c>
      <c r="G32" s="137">
        <f>E32/(D32+E32)</f>
        <v>0.69387755102040816</v>
      </c>
      <c r="H32" s="138">
        <v>0.22</v>
      </c>
      <c r="I32" s="139">
        <f>C32/(1+(F32)*(1-H32))</f>
        <v>0.87045951859956228</v>
      </c>
      <c r="J32" s="133"/>
      <c r="K32" s="133"/>
      <c r="L32" s="133"/>
      <c r="M32" s="133"/>
    </row>
    <row r="33" spans="2:13" s="32" customFormat="1" ht="18" customHeight="1" outlineLevel="1">
      <c r="B33" s="141" t="s">
        <v>40</v>
      </c>
      <c r="C33" s="135">
        <v>1.26</v>
      </c>
      <c r="D33" s="135">
        <v>200</v>
      </c>
      <c r="E33" s="136">
        <v>580</v>
      </c>
      <c r="F33" s="137">
        <f>D33/E33</f>
        <v>0.34482758620689657</v>
      </c>
      <c r="G33" s="137">
        <f>E33/(D33+E33)</f>
        <v>0.74358974358974361</v>
      </c>
      <c r="H33" s="138">
        <v>0.22</v>
      </c>
      <c r="I33" s="139">
        <f>C33/(1+(F33)*(1-H33))</f>
        <v>0.99293478260869561</v>
      </c>
      <c r="J33" s="133"/>
      <c r="K33" s="133"/>
      <c r="L33" s="133"/>
      <c r="M33" s="133"/>
    </row>
    <row r="34" spans="2:13" s="32" customFormat="1" ht="18" customHeight="1" outlineLevel="1">
      <c r="B34" s="142" t="s">
        <v>41</v>
      </c>
      <c r="C34" s="143">
        <f>MEDIAN(C29:C33)</f>
        <v>1.26</v>
      </c>
      <c r="D34" s="143"/>
      <c r="E34" s="143"/>
      <c r="F34" s="144">
        <f>MEDIAN(F29:F33)</f>
        <v>0.51282051282051277</v>
      </c>
      <c r="G34" s="144">
        <f>MEDIAN(G29:G33)</f>
        <v>0.66101694915254239</v>
      </c>
      <c r="H34" s="145"/>
      <c r="I34" s="143">
        <f>MEDIAN(I29:I33)</f>
        <v>0.99293478260869561</v>
      </c>
      <c r="J34" s="133"/>
      <c r="K34" s="133"/>
      <c r="L34" s="133"/>
      <c r="M34" s="133"/>
    </row>
    <row r="35" spans="2:13" s="32" customFormat="1" ht="18" customHeight="1" outlineLevel="1">
      <c r="B35" s="146" t="s">
        <v>42</v>
      </c>
      <c r="C35" s="147">
        <f>AVERAGE(C29:C33)</f>
        <v>1.3119999999999998</v>
      </c>
      <c r="D35" s="147"/>
      <c r="E35" s="147"/>
      <c r="F35" s="148">
        <f>AVERAGE(F29:F33)</f>
        <v>0.4958502571513293</v>
      </c>
      <c r="G35" s="148">
        <f>AVERAGE(G29:G33)</f>
        <v>0.67128371354798921</v>
      </c>
      <c r="H35" s="149"/>
      <c r="I35" s="147">
        <f>AVERAGE(I29:I33)</f>
        <v>0.94787988069420559</v>
      </c>
      <c r="J35" s="133"/>
      <c r="K35" s="133"/>
      <c r="L35" s="133"/>
      <c r="M35" s="133"/>
    </row>
    <row r="36" spans="2:13" s="32" customFormat="1" ht="18" customHeight="1" outlineLevel="1">
      <c r="B36" s="150" t="s">
        <v>43</v>
      </c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</row>
    <row r="37" spans="2:13" s="32" customFormat="1" ht="18" customHeight="1" outlineLevel="1">
      <c r="B37" s="150" t="s">
        <v>44</v>
      </c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</row>
    <row r="38" spans="2:13" s="32" customFormat="1" ht="18" customHeight="1" outlineLevel="1">
      <c r="B38" s="150" t="s">
        <v>45</v>
      </c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</row>
    <row r="39" spans="2:13" s="32" customFormat="1" ht="18" customHeight="1" outlineLevel="1">
      <c r="B39" s="150" t="s">
        <v>46</v>
      </c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</row>
    <row r="40" spans="2:13" s="32" customFormat="1" ht="45" customHeight="1" outlineLevel="1">
      <c r="B40" s="151" t="s">
        <v>47</v>
      </c>
      <c r="C40" s="152"/>
      <c r="D40" s="153" t="s">
        <v>48</v>
      </c>
      <c r="E40" s="153" t="s">
        <v>49</v>
      </c>
      <c r="F40" s="153" t="s">
        <v>50</v>
      </c>
      <c r="G40" s="154" t="s">
        <v>47</v>
      </c>
      <c r="H40" s="155"/>
      <c r="I40" s="133"/>
      <c r="J40" s="133"/>
      <c r="K40" s="133"/>
      <c r="L40" s="133"/>
      <c r="M40" s="133"/>
    </row>
    <row r="41" spans="2:13" s="32" customFormat="1" ht="18" customHeight="1" outlineLevel="1">
      <c r="B41" s="156" t="s">
        <v>51</v>
      </c>
      <c r="C41" s="157"/>
      <c r="D41" s="158">
        <f>I35</f>
        <v>0.94787988069420559</v>
      </c>
      <c r="E41" s="159">
        <f>F35</f>
        <v>0.4958502571513293</v>
      </c>
      <c r="F41" s="160">
        <f>'割引キャッシュ フロー - EX'!C5</f>
        <v>0.22</v>
      </c>
      <c r="G41" s="161">
        <f>D41*(1+(E41)*(1-F41))</f>
        <v>1.3144849371150242</v>
      </c>
      <c r="H41" s="133"/>
      <c r="I41" s="133"/>
      <c r="J41" s="133"/>
      <c r="K41" s="133"/>
      <c r="L41" s="133"/>
      <c r="M41" s="133"/>
    </row>
    <row r="42" spans="2:13" ht="15" customHeight="1">
      <c r="B42" s="73"/>
      <c r="C42" s="162"/>
      <c r="D42" s="163"/>
      <c r="E42" s="163"/>
      <c r="F42" s="163"/>
      <c r="G42" s="73"/>
      <c r="H42" s="73"/>
      <c r="I42" s="73"/>
      <c r="J42" s="73"/>
      <c r="K42" s="73"/>
      <c r="L42" s="164"/>
      <c r="M42" s="164"/>
    </row>
    <row r="43" spans="2:13" s="22" customFormat="1" ht="25" customHeight="1" outlineLevel="1">
      <c r="B43" s="128" t="s">
        <v>52</v>
      </c>
      <c r="C43" s="65"/>
      <c r="D43" s="65"/>
      <c r="E43" s="65"/>
      <c r="F43" s="65"/>
      <c r="G43" s="65"/>
      <c r="H43" s="65"/>
      <c r="I43" s="65"/>
      <c r="J43" s="67"/>
      <c r="K43" s="67"/>
      <c r="L43" s="67"/>
      <c r="M43" s="67"/>
    </row>
    <row r="44" spans="2:13" s="22" customFormat="1" ht="18" customHeight="1" outlineLevel="1">
      <c r="B44" s="130" t="s">
        <v>53</v>
      </c>
      <c r="C44" s="65"/>
      <c r="D44" s="65"/>
      <c r="E44" s="65"/>
      <c r="F44" s="65"/>
      <c r="G44" s="65"/>
      <c r="H44" s="65"/>
      <c r="I44" s="65"/>
      <c r="J44" s="67"/>
      <c r="K44" s="67"/>
      <c r="L44" s="67"/>
      <c r="M44" s="67"/>
    </row>
    <row r="45" spans="2:13" s="26" customFormat="1" ht="18" customHeight="1" outlineLevel="1">
      <c r="B45" s="165" t="s">
        <v>54</v>
      </c>
      <c r="C45" s="166"/>
      <c r="D45" s="167" t="s">
        <v>55</v>
      </c>
      <c r="E45" s="168"/>
      <c r="F45" s="169"/>
      <c r="G45" s="102"/>
      <c r="H45" s="170"/>
      <c r="I45" s="171"/>
      <c r="J45" s="75"/>
      <c r="K45" s="66"/>
      <c r="L45" s="66"/>
      <c r="M45" s="66"/>
    </row>
    <row r="46" spans="2:13" s="26" customFormat="1" ht="18" customHeight="1" outlineLevel="1">
      <c r="B46" s="172" t="s">
        <v>56</v>
      </c>
      <c r="C46" s="173">
        <f>1-C47</f>
        <v>0.32871628645201079</v>
      </c>
      <c r="D46" s="174"/>
      <c r="E46" s="175"/>
      <c r="F46" s="176"/>
      <c r="G46" s="176"/>
      <c r="H46" s="176"/>
      <c r="I46" s="176"/>
      <c r="J46" s="75"/>
      <c r="K46" s="66"/>
      <c r="L46" s="66"/>
      <c r="M46" s="66"/>
    </row>
    <row r="47" spans="2:13" s="26" customFormat="1" ht="18" customHeight="1" outlineLevel="1">
      <c r="B47" s="172" t="s">
        <v>57</v>
      </c>
      <c r="C47" s="173">
        <f>'割引キャッシュ フロー - EX'!G35</f>
        <v>0.67128371354798921</v>
      </c>
      <c r="D47" s="174"/>
      <c r="E47" s="175"/>
      <c r="F47" s="176"/>
      <c r="G47" s="176"/>
      <c r="H47" s="176"/>
      <c r="I47" s="176"/>
      <c r="J47" s="75"/>
      <c r="K47" s="66"/>
      <c r="L47" s="66"/>
      <c r="M47" s="66"/>
    </row>
    <row r="48" spans="2:13" s="26" customFormat="1" ht="18" customHeight="1" outlineLevel="1">
      <c r="B48" s="172" t="s">
        <v>58</v>
      </c>
      <c r="C48" s="173">
        <f>'割引キャッシュ フロー - EX'!F35</f>
        <v>0.4958502571513293</v>
      </c>
      <c r="D48" s="174"/>
      <c r="E48" s="175"/>
      <c r="F48" s="176"/>
      <c r="G48" s="176"/>
      <c r="H48" s="176"/>
      <c r="I48" s="176"/>
      <c r="J48" s="75"/>
      <c r="K48" s="66"/>
      <c r="L48" s="66"/>
      <c r="M48" s="66"/>
    </row>
    <row r="49" spans="2:13" s="26" customFormat="1" ht="18" customHeight="1" outlineLevel="1">
      <c r="B49" s="165" t="s">
        <v>59</v>
      </c>
      <c r="C49" s="177"/>
      <c r="D49" s="174"/>
      <c r="E49" s="175"/>
      <c r="F49" s="176"/>
      <c r="G49" s="176"/>
      <c r="H49" s="176"/>
      <c r="I49" s="176"/>
      <c r="J49" s="75"/>
      <c r="K49" s="66"/>
      <c r="L49" s="66"/>
      <c r="M49" s="66"/>
    </row>
    <row r="50" spans="2:13" s="26" customFormat="1" ht="18" customHeight="1" outlineLevel="1">
      <c r="B50" s="172" t="s">
        <v>60</v>
      </c>
      <c r="C50" s="56">
        <v>3.1E-2</v>
      </c>
      <c r="D50" s="174"/>
      <c r="E50" s="175"/>
      <c r="F50" s="176"/>
      <c r="G50" s="176"/>
      <c r="H50" s="176"/>
      <c r="I50" s="176"/>
      <c r="J50" s="75"/>
      <c r="K50" s="66"/>
      <c r="L50" s="66"/>
      <c r="M50" s="66"/>
    </row>
    <row r="51" spans="2:13" s="26" customFormat="1" ht="18" customHeight="1" outlineLevel="1">
      <c r="B51" s="172" t="s">
        <v>61</v>
      </c>
      <c r="C51" s="56">
        <v>6.2E-2</v>
      </c>
      <c r="D51" s="174"/>
      <c r="E51" s="175"/>
      <c r="F51" s="176"/>
      <c r="G51" s="176"/>
      <c r="H51" s="176"/>
      <c r="I51" s="176"/>
      <c r="J51" s="75"/>
      <c r="K51" s="66"/>
      <c r="L51" s="66"/>
      <c r="M51" s="66"/>
    </row>
    <row r="52" spans="2:13" s="26" customFormat="1" ht="18" customHeight="1" outlineLevel="1">
      <c r="B52" s="172" t="s">
        <v>62</v>
      </c>
      <c r="C52" s="179">
        <f>'割引キャッシュ フロー - EX'!G41</f>
        <v>1.3144849371150242</v>
      </c>
      <c r="D52" s="174"/>
      <c r="E52" s="175"/>
      <c r="F52" s="176"/>
      <c r="G52" s="176"/>
      <c r="H52" s="176"/>
      <c r="I52" s="176"/>
      <c r="J52" s="75"/>
      <c r="K52" s="66"/>
      <c r="L52" s="66"/>
      <c r="M52" s="66"/>
    </row>
    <row r="53" spans="2:13" s="26" customFormat="1" ht="18" customHeight="1" outlineLevel="1">
      <c r="B53" s="180" t="s">
        <v>63</v>
      </c>
      <c r="C53" s="57">
        <v>1.4E-2</v>
      </c>
      <c r="D53" s="174"/>
      <c r="E53" s="175"/>
      <c r="F53" s="176"/>
      <c r="G53" s="176"/>
      <c r="H53" s="176"/>
      <c r="I53" s="176"/>
      <c r="J53" s="75"/>
      <c r="K53" s="66"/>
      <c r="L53" s="66"/>
      <c r="M53" s="66"/>
    </row>
    <row r="54" spans="2:13" s="26" customFormat="1" ht="18" customHeight="1" outlineLevel="1">
      <c r="B54" s="182" t="s">
        <v>59</v>
      </c>
      <c r="C54" s="183">
        <f>C50+(C52*C51)+C53</f>
        <v>0.12649806610113151</v>
      </c>
      <c r="D54" s="174"/>
      <c r="E54" s="175"/>
      <c r="F54" s="176"/>
      <c r="G54" s="176"/>
      <c r="H54" s="176"/>
      <c r="I54" s="176"/>
      <c r="J54" s="75"/>
      <c r="K54" s="66"/>
      <c r="L54" s="66"/>
      <c r="M54" s="66"/>
    </row>
    <row r="55" spans="2:13" s="26" customFormat="1" ht="18" customHeight="1" outlineLevel="1">
      <c r="B55" s="184" t="s">
        <v>64</v>
      </c>
      <c r="C55" s="185"/>
      <c r="D55" s="174"/>
      <c r="E55" s="175"/>
      <c r="F55" s="176"/>
      <c r="G55" s="176"/>
      <c r="H55" s="176"/>
      <c r="I55" s="176"/>
      <c r="J55" s="75"/>
      <c r="K55" s="66"/>
      <c r="L55" s="66"/>
      <c r="M55" s="66"/>
    </row>
    <row r="56" spans="2:13" s="26" customFormat="1" ht="18" customHeight="1" outlineLevel="1">
      <c r="B56" s="186" t="s">
        <v>65</v>
      </c>
      <c r="C56" s="56">
        <v>5.9200000000000003E-2</v>
      </c>
      <c r="D56" s="174"/>
      <c r="E56" s="175"/>
      <c r="F56" s="176"/>
      <c r="G56" s="176"/>
      <c r="H56" s="176"/>
      <c r="I56" s="176"/>
      <c r="J56" s="75"/>
      <c r="K56" s="66"/>
      <c r="L56" s="66"/>
      <c r="M56" s="66"/>
    </row>
    <row r="57" spans="2:13" s="26" customFormat="1" ht="18" customHeight="1" outlineLevel="1">
      <c r="B57" s="187" t="s">
        <v>66</v>
      </c>
      <c r="C57" s="188">
        <f>'割引キャッシュ フロー - EX'!C5</f>
        <v>0.22</v>
      </c>
      <c r="D57" s="174"/>
      <c r="E57" s="175"/>
      <c r="F57" s="176"/>
      <c r="G57" s="176"/>
      <c r="H57" s="176"/>
      <c r="I57" s="176"/>
      <c r="J57" s="75"/>
      <c r="K57" s="66"/>
      <c r="L57" s="66"/>
      <c r="M57" s="66"/>
    </row>
    <row r="58" spans="2:13" s="26" customFormat="1" ht="18" customHeight="1" outlineLevel="1">
      <c r="B58" s="182" t="s">
        <v>67</v>
      </c>
      <c r="C58" s="189">
        <f>C56*(1-C57)</f>
        <v>4.6176000000000002E-2</v>
      </c>
      <c r="D58" s="190"/>
      <c r="E58" s="191"/>
      <c r="F58" s="192"/>
      <c r="G58" s="192"/>
      <c r="H58" s="192"/>
      <c r="I58" s="192"/>
      <c r="J58" s="75"/>
      <c r="K58" s="66"/>
      <c r="L58" s="66"/>
      <c r="M58" s="66"/>
    </row>
    <row r="59" spans="2:13" s="26" customFormat="1" ht="18" customHeight="1" outlineLevel="1" thickBot="1">
      <c r="B59" s="193" t="s">
        <v>2</v>
      </c>
      <c r="C59" s="194">
        <f>(C58*C46)+(C54*C47)</f>
        <v>0.10009489481221463</v>
      </c>
      <c r="D59" s="195"/>
      <c r="E59" s="196"/>
      <c r="F59" s="197"/>
      <c r="G59" s="198"/>
      <c r="H59" s="198"/>
      <c r="I59" s="198"/>
      <c r="J59" s="75"/>
      <c r="K59" s="66"/>
      <c r="L59" s="66"/>
      <c r="M59" s="66"/>
    </row>
    <row r="60" spans="2:13" s="34" customFormat="1" ht="12" customHeight="1" outlineLevel="1" thickTop="1">
      <c r="B60" s="199"/>
      <c r="C60" s="75"/>
      <c r="D60" s="75"/>
      <c r="E60" s="75"/>
      <c r="F60" s="75"/>
      <c r="G60" s="200"/>
      <c r="H60" s="200"/>
      <c r="I60" s="200"/>
      <c r="J60" s="200"/>
      <c r="K60" s="200"/>
      <c r="L60" s="75"/>
      <c r="M60" s="75"/>
    </row>
    <row r="61" spans="2:13" s="22" customFormat="1" ht="25" customHeight="1" outlineLevel="1">
      <c r="B61" s="201" t="s">
        <v>68</v>
      </c>
      <c r="C61" s="65"/>
      <c r="D61" s="65"/>
      <c r="E61" s="65"/>
      <c r="F61" s="65"/>
      <c r="G61" s="65"/>
      <c r="H61" s="65"/>
      <c r="I61" s="65"/>
      <c r="J61" s="67"/>
      <c r="K61" s="67"/>
      <c r="L61" s="67"/>
      <c r="M61" s="67"/>
    </row>
    <row r="62" spans="2:13" s="34" customFormat="1" ht="12" customHeight="1" outlineLevel="1">
      <c r="B62" s="199"/>
      <c r="C62" s="75"/>
      <c r="D62" s="75"/>
      <c r="E62" s="75"/>
      <c r="F62" s="75"/>
      <c r="G62" s="200"/>
      <c r="H62" s="200"/>
      <c r="I62" s="200"/>
      <c r="J62" s="200"/>
      <c r="K62" s="200"/>
      <c r="L62" s="75"/>
      <c r="M62" s="75"/>
    </row>
    <row r="63" spans="2:13" s="34" customFormat="1" ht="18" customHeight="1">
      <c r="B63" s="116" t="s">
        <v>1</v>
      </c>
      <c r="C63" s="117">
        <f t="shared" ref="C63:K63" si="13">C20+C22</f>
        <v>3220</v>
      </c>
      <c r="D63" s="117">
        <f t="shared" si="13"/>
        <v>2205</v>
      </c>
      <c r="E63" s="117">
        <f t="shared" si="13"/>
        <v>2705</v>
      </c>
      <c r="F63" s="118">
        <f t="shared" si="13"/>
        <v>2188</v>
      </c>
      <c r="G63" s="119">
        <f t="shared" si="13"/>
        <v>1032.2437511666672</v>
      </c>
      <c r="H63" s="119">
        <f t="shared" si="13"/>
        <v>1150.6209262833333</v>
      </c>
      <c r="I63" s="119">
        <f t="shared" si="13"/>
        <v>1267.8505497288338</v>
      </c>
      <c r="J63" s="119">
        <f t="shared" si="13"/>
        <v>1381.2919385056246</v>
      </c>
      <c r="K63" s="120">
        <f t="shared" si="13"/>
        <v>1488.1552920099168</v>
      </c>
      <c r="L63" s="121">
        <f>(F63/C63)^(1/3)-1</f>
        <v>-0.12084830992680828</v>
      </c>
      <c r="M63" s="121">
        <f>(K63/G63)^(1/4)-1</f>
        <v>9.5762661586874964E-2</v>
      </c>
    </row>
    <row r="64" spans="2:13" s="34" customFormat="1" ht="18" customHeight="1">
      <c r="B64" s="88" t="s">
        <v>69</v>
      </c>
      <c r="C64" s="89">
        <v>-111</v>
      </c>
      <c r="D64" s="89">
        <v>-121</v>
      </c>
      <c r="E64" s="89">
        <v>-131</v>
      </c>
      <c r="F64" s="90">
        <v>-141</v>
      </c>
      <c r="G64" s="91">
        <f>'割引キャッシュ フロー - EX'!$C$57*-G63</f>
        <v>-227.09362525666677</v>
      </c>
      <c r="H64" s="91">
        <f>'割引キャッシュ フロー - EX'!$C$57*-H63</f>
        <v>-253.13660378233334</v>
      </c>
      <c r="I64" s="91">
        <f>'割引キャッシュ フロー - EX'!$C$57*-I63</f>
        <v>-278.92712094034346</v>
      </c>
      <c r="J64" s="91">
        <f>'割引キャッシュ フロー - EX'!$C$57*-J63</f>
        <v>-303.88422647123741</v>
      </c>
      <c r="K64" s="92">
        <f>'割引キャッシュ フロー - EX'!$C$57*-K63</f>
        <v>-327.39416424218172</v>
      </c>
      <c r="L64" s="104">
        <f>IFERROR((F64/C64)^(1/3)-1,"N/A")</f>
        <v>8.3008947425307955E-2</v>
      </c>
      <c r="M64" s="104">
        <f>IFERROR((K64/G64)^(1/4)-1,"N/A")</f>
        <v>9.5762661586874964E-2</v>
      </c>
    </row>
    <row r="65" spans="2:20" s="34" customFormat="1" ht="18" customHeight="1">
      <c r="B65" s="88" t="s">
        <v>3</v>
      </c>
      <c r="C65" s="89"/>
      <c r="D65" s="89">
        <v>-80</v>
      </c>
      <c r="E65" s="89">
        <v>-50</v>
      </c>
      <c r="F65" s="90">
        <v>-110</v>
      </c>
      <c r="G65" s="91">
        <f>-(G66*G10)</f>
        <v>-97.227777777777803</v>
      </c>
      <c r="H65" s="91">
        <f>-(H66*H10)</f>
        <v>-106.9505555555556</v>
      </c>
      <c r="I65" s="91">
        <f>-(I66*I10)</f>
        <v>-116.5761055555556</v>
      </c>
      <c r="J65" s="91">
        <f>-(J66*J10)</f>
        <v>-125.90219400000005</v>
      </c>
      <c r="K65" s="92">
        <f>-(K66*K10)</f>
        <v>-134.71534758000004</v>
      </c>
      <c r="L65" s="202" t="str">
        <f>IFERROR((F65/C65)^(1/3)-1,"なし")</f>
        <v>なし</v>
      </c>
      <c r="M65" s="202">
        <f>IFERROR((K65/G65)^(1/4)-1,"n.a.")</f>
        <v>8.4942392826583557E-2</v>
      </c>
      <c r="P65" s="260"/>
      <c r="Q65" s="260"/>
      <c r="R65" s="260"/>
      <c r="S65" s="260"/>
      <c r="T65" s="260"/>
    </row>
    <row r="66" spans="2:20" s="34" customFormat="1" ht="18" customHeight="1">
      <c r="B66" s="94" t="s">
        <v>22</v>
      </c>
      <c r="C66" s="202"/>
      <c r="D66" s="93">
        <f>-D65/D10</f>
        <v>1.7777777777777778E-2</v>
      </c>
      <c r="E66" s="93">
        <f>-E65/E10</f>
        <v>0.01</v>
      </c>
      <c r="F66" s="95">
        <f>-F65/F10</f>
        <v>0.02</v>
      </c>
      <c r="G66" s="112">
        <f>AVERAGE(D66:F66)</f>
        <v>1.5925925925925927E-2</v>
      </c>
      <c r="H66" s="112">
        <f>G66</f>
        <v>1.5925925925925927E-2</v>
      </c>
      <c r="I66" s="112">
        <f t="shared" ref="I66:K66" si="14">H66</f>
        <v>1.5925925925925927E-2</v>
      </c>
      <c r="J66" s="112">
        <f t="shared" si="14"/>
        <v>1.5925925925925927E-2</v>
      </c>
      <c r="K66" s="113">
        <f t="shared" si="14"/>
        <v>1.5925925925925927E-2</v>
      </c>
      <c r="L66" s="93"/>
      <c r="M66" s="93"/>
      <c r="N66" s="40"/>
      <c r="O66" s="40"/>
      <c r="P66" s="36"/>
      <c r="Q66" s="36"/>
      <c r="R66" s="36"/>
      <c r="S66" s="36"/>
      <c r="T66" s="36"/>
    </row>
    <row r="67" spans="2:20" s="34" customFormat="1" ht="18" customHeight="1">
      <c r="B67" s="88" t="s">
        <v>70</v>
      </c>
      <c r="C67" s="89">
        <v>200</v>
      </c>
      <c r="D67" s="89">
        <v>225</v>
      </c>
      <c r="E67" s="89">
        <v>210</v>
      </c>
      <c r="F67" s="90">
        <v>200</v>
      </c>
      <c r="G67" s="91">
        <f>G68*G10</f>
        <v>222.00000000000003</v>
      </c>
      <c r="H67" s="91">
        <f>H68*H10</f>
        <v>244.20000000000005</v>
      </c>
      <c r="I67" s="91">
        <f>I68*I10</f>
        <v>266.17800000000005</v>
      </c>
      <c r="J67" s="91">
        <f>J68*J10</f>
        <v>287.47224000000011</v>
      </c>
      <c r="K67" s="92">
        <f>K68*K10</f>
        <v>307.59529680000009</v>
      </c>
      <c r="L67" s="202"/>
      <c r="M67" s="202"/>
    </row>
    <row r="68" spans="2:20" s="34" customFormat="1" ht="18" customHeight="1">
      <c r="B68" s="94" t="s">
        <v>22</v>
      </c>
      <c r="C68" s="93">
        <f>C67/C10</f>
        <v>3.6363636363636362E-2</v>
      </c>
      <c r="D68" s="93">
        <f>D67/D10</f>
        <v>0.05</v>
      </c>
      <c r="E68" s="93">
        <f>E67/E10</f>
        <v>4.2000000000000003E-2</v>
      </c>
      <c r="F68" s="95">
        <f>F67/F10</f>
        <v>3.6363636363636362E-2</v>
      </c>
      <c r="G68" s="112">
        <f>F68</f>
        <v>3.6363636363636362E-2</v>
      </c>
      <c r="H68" s="112">
        <f>G68</f>
        <v>3.6363636363636362E-2</v>
      </c>
      <c r="I68" s="112">
        <f t="shared" ref="I68:K68" si="15">H68</f>
        <v>3.6363636363636362E-2</v>
      </c>
      <c r="J68" s="112">
        <f t="shared" si="15"/>
        <v>3.6363636363636362E-2</v>
      </c>
      <c r="K68" s="113">
        <f t="shared" si="15"/>
        <v>3.6363636363636362E-2</v>
      </c>
      <c r="L68" s="202"/>
      <c r="M68" s="202"/>
    </row>
    <row r="69" spans="2:20" s="34" customFormat="1" ht="18" customHeight="1">
      <c r="B69" s="88" t="s">
        <v>71</v>
      </c>
      <c r="C69" s="203"/>
      <c r="D69" s="202">
        <f t="shared" ref="D69:K69" si="16">C67-D67</f>
        <v>-25</v>
      </c>
      <c r="E69" s="202">
        <f t="shared" si="16"/>
        <v>15</v>
      </c>
      <c r="F69" s="204">
        <f t="shared" si="16"/>
        <v>10</v>
      </c>
      <c r="G69" s="91">
        <f t="shared" si="16"/>
        <v>-22.000000000000028</v>
      </c>
      <c r="H69" s="91">
        <f t="shared" si="16"/>
        <v>-22.200000000000017</v>
      </c>
      <c r="I69" s="91">
        <f t="shared" si="16"/>
        <v>-21.978000000000009</v>
      </c>
      <c r="J69" s="91">
        <f t="shared" si="16"/>
        <v>-21.294240000000059</v>
      </c>
      <c r="K69" s="92">
        <f t="shared" si="16"/>
        <v>-20.123056799999972</v>
      </c>
      <c r="L69" s="205"/>
      <c r="M69" s="205"/>
      <c r="N69" s="42"/>
      <c r="O69" s="36"/>
      <c r="P69" s="39"/>
      <c r="Q69" s="39"/>
      <c r="R69" s="39"/>
      <c r="S69" s="39"/>
      <c r="T69" s="39"/>
    </row>
    <row r="70" spans="2:20" s="34" customFormat="1" ht="18" customHeight="1">
      <c r="B70" s="116" t="s">
        <v>72</v>
      </c>
      <c r="C70" s="117"/>
      <c r="D70" s="117">
        <f t="shared" ref="D70:K70" si="17">D20+D64+D65+D69</f>
        <v>2049</v>
      </c>
      <c r="E70" s="117">
        <f t="shared" si="17"/>
        <v>2604</v>
      </c>
      <c r="F70" s="118">
        <f t="shared" si="17"/>
        <v>2024</v>
      </c>
      <c r="G70" s="119">
        <f t="shared" si="17"/>
        <v>767.52276479888928</v>
      </c>
      <c r="H70" s="119">
        <f t="shared" si="17"/>
        <v>858.09422527877769</v>
      </c>
      <c r="I70" s="119">
        <f t="shared" si="17"/>
        <v>948.20822281626806</v>
      </c>
      <c r="J70" s="119">
        <f t="shared" si="17"/>
        <v>1035.8772895843872</v>
      </c>
      <c r="K70" s="120">
        <f t="shared" si="17"/>
        <v>1118.9853557462352</v>
      </c>
      <c r="L70" s="117"/>
      <c r="M70" s="117"/>
      <c r="N70" s="42"/>
      <c r="O70" s="36"/>
      <c r="P70" s="39"/>
      <c r="Q70" s="39"/>
      <c r="R70" s="39"/>
      <c r="S70" s="39"/>
      <c r="T70" s="39"/>
    </row>
    <row r="71" spans="2:20" s="34" customFormat="1" ht="18" customHeight="1">
      <c r="B71" s="88" t="s">
        <v>2</v>
      </c>
      <c r="C71" s="206"/>
      <c r="D71" s="202"/>
      <c r="E71" s="202"/>
      <c r="F71" s="204"/>
      <c r="G71" s="207">
        <f>WACC</f>
        <v>0.10009489481221463</v>
      </c>
      <c r="H71" s="207">
        <f>WACC</f>
        <v>0.10009489481221463</v>
      </c>
      <c r="I71" s="207">
        <f>WACC</f>
        <v>0.10009489481221463</v>
      </c>
      <c r="J71" s="207">
        <f>WACC</f>
        <v>0.10009489481221463</v>
      </c>
      <c r="K71" s="177">
        <f>WACC</f>
        <v>0.10009489481221463</v>
      </c>
      <c r="L71" s="202"/>
      <c r="M71" s="202"/>
    </row>
    <row r="72" spans="2:20" s="34" customFormat="1" ht="18" customHeight="1">
      <c r="B72" s="88" t="s">
        <v>73</v>
      </c>
      <c r="C72" s="202"/>
      <c r="D72" s="202"/>
      <c r="E72" s="202"/>
      <c r="F72" s="204"/>
      <c r="G72" s="208">
        <v>0.5</v>
      </c>
      <c r="H72" s="209">
        <f>G72+1</f>
        <v>1.5</v>
      </c>
      <c r="I72" s="209">
        <f>H72+1</f>
        <v>2.5</v>
      </c>
      <c r="J72" s="209">
        <f>I72+1</f>
        <v>3.5</v>
      </c>
      <c r="K72" s="210">
        <f>J72+1</f>
        <v>4.5</v>
      </c>
      <c r="L72" s="202"/>
      <c r="M72" s="202"/>
    </row>
    <row r="73" spans="2:20" s="34" customFormat="1" ht="18" customHeight="1">
      <c r="B73" s="88" t="s">
        <v>74</v>
      </c>
      <c r="C73" s="202"/>
      <c r="D73" s="202"/>
      <c r="E73" s="202"/>
      <c r="F73" s="204"/>
      <c r="G73" s="211">
        <f>1/((1+G71)^G72)</f>
        <v>0.95342146524571914</v>
      </c>
      <c r="H73" s="211">
        <f>1/((1+H71)^H72)</f>
        <v>0.86667202051552783</v>
      </c>
      <c r="I73" s="211">
        <f>1/((1+I71)^I72)</f>
        <v>0.78781569172127464</v>
      </c>
      <c r="J73" s="211">
        <f>1/((1+J71)^J72)</f>
        <v>0.71613430390089594</v>
      </c>
      <c r="K73" s="179">
        <f>1/((1+K71)^K72)</f>
        <v>0.65097502704358934</v>
      </c>
      <c r="L73" s="202"/>
      <c r="M73" s="202"/>
    </row>
    <row r="74" spans="2:20" s="34" customFormat="1" ht="18" customHeight="1" thickBot="1">
      <c r="B74" s="212" t="s">
        <v>75</v>
      </c>
      <c r="C74" s="213"/>
      <c r="D74" s="213"/>
      <c r="E74" s="213"/>
      <c r="F74" s="214"/>
      <c r="G74" s="215">
        <f>G73*G70</f>
        <v>731.77267902400251</v>
      </c>
      <c r="H74" s="215">
        <f>H73*H70</f>
        <v>743.68625601506483</v>
      </c>
      <c r="I74" s="215">
        <f>I73*I70</f>
        <v>747.01331695379872</v>
      </c>
      <c r="J74" s="215">
        <f>J73*J70</f>
        <v>741.82726170326191</v>
      </c>
      <c r="K74" s="216">
        <f>K73*K70</f>
        <v>728.43152221828586</v>
      </c>
      <c r="L74" s="213"/>
      <c r="M74" s="213"/>
      <c r="N74" s="42"/>
      <c r="O74" s="36"/>
      <c r="P74" s="39"/>
      <c r="Q74" s="39"/>
      <c r="R74" s="39"/>
      <c r="S74" s="39"/>
      <c r="T74" s="39"/>
    </row>
    <row r="75" spans="2:20" s="34" customFormat="1" ht="18" customHeight="1" thickTop="1">
      <c r="B75" s="199"/>
      <c r="C75" s="75"/>
      <c r="D75" s="75"/>
      <c r="E75" s="75"/>
      <c r="F75" s="75"/>
      <c r="G75" s="200"/>
      <c r="H75" s="200"/>
      <c r="I75" s="200"/>
      <c r="J75" s="200"/>
      <c r="K75" s="200"/>
      <c r="L75" s="75"/>
      <c r="M75" s="75"/>
    </row>
    <row r="76" spans="2:20" s="34" customFormat="1" ht="18" customHeight="1">
      <c r="B76" s="217" t="s">
        <v>76</v>
      </c>
      <c r="C76" s="217"/>
      <c r="D76" s="75"/>
      <c r="E76" s="65" t="s">
        <v>77</v>
      </c>
      <c r="F76" s="67"/>
      <c r="G76" s="218">
        <f>F9</f>
        <v>2019</v>
      </c>
      <c r="H76" s="219">
        <f>G9</f>
        <v>2020</v>
      </c>
      <c r="I76" s="219">
        <f>H9</f>
        <v>2021</v>
      </c>
      <c r="J76" s="219">
        <f>I9</f>
        <v>2022</v>
      </c>
      <c r="K76" s="219">
        <f>J9</f>
        <v>2023</v>
      </c>
      <c r="L76" s="75"/>
      <c r="M76" s="75"/>
    </row>
    <row r="77" spans="2:20" s="34" customFormat="1" ht="18" customHeight="1">
      <c r="B77" s="168" t="s">
        <v>78</v>
      </c>
      <c r="C77" s="220">
        <f>SUM('割引キャッシュ フロー - EX'!G74:K74)+'割引キャッシュ フロー - EX'!C93</f>
        <v>12537.143602910968</v>
      </c>
      <c r="D77" s="75"/>
      <c r="E77" s="221" t="s">
        <v>79</v>
      </c>
      <c r="F77" s="221"/>
      <c r="G77" s="222">
        <f>EV/F10</f>
        <v>2.2794806550747215</v>
      </c>
      <c r="H77" s="222">
        <f>EV/G10</f>
        <v>2.0535861757429918</v>
      </c>
      <c r="I77" s="222">
        <f>EV/H10</f>
        <v>1.8668965234027197</v>
      </c>
      <c r="J77" s="222">
        <f>EV/I10</f>
        <v>1.7127491040391924</v>
      </c>
      <c r="K77" s="222">
        <f>EV/J10</f>
        <v>1.5858788000362891</v>
      </c>
      <c r="L77" s="75"/>
      <c r="M77" s="75"/>
    </row>
    <row r="78" spans="2:20" s="34" customFormat="1" ht="18" customHeight="1" outlineLevel="1">
      <c r="B78" s="223" t="s">
        <v>80</v>
      </c>
      <c r="C78" s="224">
        <v>600</v>
      </c>
      <c r="D78" s="75"/>
      <c r="E78" s="225" t="s">
        <v>81</v>
      </c>
      <c r="F78" s="226"/>
      <c r="G78" s="227"/>
      <c r="H78" s="227"/>
      <c r="I78" s="227"/>
      <c r="J78" s="227"/>
      <c r="K78" s="227"/>
      <c r="L78" s="75"/>
      <c r="M78" s="75"/>
    </row>
    <row r="79" spans="2:20" s="34" customFormat="1" ht="18" customHeight="1" outlineLevel="1">
      <c r="B79" s="223" t="s">
        <v>82</v>
      </c>
      <c r="C79" s="224">
        <v>150</v>
      </c>
      <c r="D79" s="75"/>
      <c r="E79" s="225" t="s">
        <v>81</v>
      </c>
      <c r="F79" s="226"/>
      <c r="G79" s="227"/>
      <c r="H79" s="227"/>
      <c r="I79" s="227"/>
      <c r="J79" s="227"/>
      <c r="K79" s="227"/>
      <c r="L79" s="75"/>
      <c r="M79" s="75"/>
    </row>
    <row r="80" spans="2:20" s="34" customFormat="1" ht="18" customHeight="1" outlineLevel="1">
      <c r="B80" s="228" t="s">
        <v>83</v>
      </c>
      <c r="C80" s="171">
        <f>C78-C79</f>
        <v>450</v>
      </c>
      <c r="D80" s="75"/>
      <c r="E80" s="225" t="s">
        <v>81</v>
      </c>
      <c r="F80" s="229"/>
      <c r="G80" s="230"/>
      <c r="H80" s="230"/>
      <c r="I80" s="230"/>
      <c r="J80" s="230"/>
      <c r="K80" s="230"/>
      <c r="L80" s="75"/>
      <c r="M80" s="75"/>
    </row>
    <row r="81" spans="2:20" s="34" customFormat="1" ht="18" customHeight="1">
      <c r="B81" s="226" t="s">
        <v>84</v>
      </c>
      <c r="C81" s="231">
        <f>C77-C80</f>
        <v>12087.143602910968</v>
      </c>
      <c r="D81" s="75"/>
      <c r="E81" s="226" t="s">
        <v>0</v>
      </c>
      <c r="F81" s="226"/>
      <c r="G81" s="227">
        <f>EV/F20</f>
        <v>5.5351627385920388</v>
      </c>
      <c r="H81" s="227">
        <f>EV/G20</f>
        <v>11.25574291716085</v>
      </c>
      <c r="I81" s="227">
        <f>EV/H20</f>
        <v>10.107490936576339</v>
      </c>
      <c r="J81" s="227">
        <f>EV/I20</f>
        <v>9.1800838098480817</v>
      </c>
      <c r="K81" s="227">
        <f>EV/J20</f>
        <v>8.4314042656296859</v>
      </c>
      <c r="L81" s="75"/>
      <c r="M81" s="75"/>
    </row>
    <row r="82" spans="2:20" s="34" customFormat="1" ht="18" customHeight="1" outlineLevel="1">
      <c r="B82" s="223" t="s">
        <v>85</v>
      </c>
      <c r="C82" s="171">
        <v>10000</v>
      </c>
      <c r="D82" s="75"/>
      <c r="E82" s="225" t="s">
        <v>81</v>
      </c>
      <c r="F82" s="229"/>
      <c r="G82" s="230"/>
      <c r="H82" s="230"/>
      <c r="I82" s="230"/>
      <c r="J82" s="230"/>
      <c r="K82" s="230"/>
      <c r="L82" s="75"/>
      <c r="M82" s="75"/>
    </row>
    <row r="83" spans="2:20" s="34" customFormat="1" ht="18" customHeight="1">
      <c r="B83" s="232" t="s">
        <v>86</v>
      </c>
      <c r="C83" s="233">
        <f>C81/C82</f>
        <v>1.2087143602910968</v>
      </c>
      <c r="D83" s="75"/>
      <c r="E83" s="232" t="s">
        <v>1</v>
      </c>
      <c r="F83" s="232"/>
      <c r="G83" s="234">
        <f>EV/F63</f>
        <v>5.7299559428295099</v>
      </c>
      <c r="H83" s="234">
        <f>EV/G63</f>
        <v>12.145526275883174</v>
      </c>
      <c r="I83" s="234">
        <f>EV/H63</f>
        <v>10.895980871308934</v>
      </c>
      <c r="J83" s="234">
        <f>EV/I63</f>
        <v>9.8885027147658651</v>
      </c>
      <c r="K83" s="234">
        <f>EV/J63</f>
        <v>9.0763894680182542</v>
      </c>
      <c r="L83" s="75"/>
      <c r="M83" s="75"/>
    </row>
    <row r="84" spans="2:20" s="34" customFormat="1" ht="18" customHeight="1">
      <c r="B84" s="67"/>
      <c r="C84" s="67"/>
      <c r="D84" s="75"/>
      <c r="E84" s="65"/>
      <c r="F84" s="67"/>
      <c r="G84" s="67"/>
      <c r="H84" s="67"/>
      <c r="I84" s="67"/>
      <c r="J84" s="67"/>
      <c r="K84" s="67"/>
      <c r="L84" s="75"/>
      <c r="M84" s="75"/>
    </row>
    <row r="85" spans="2:20" s="34" customFormat="1" ht="18" customHeight="1">
      <c r="B85" s="235" t="s">
        <v>87</v>
      </c>
      <c r="C85" s="236"/>
      <c r="D85" s="200"/>
      <c r="E85" s="73"/>
      <c r="F85" s="73"/>
      <c r="G85" s="73"/>
      <c r="H85" s="73"/>
      <c r="I85" s="73"/>
      <c r="J85" s="73"/>
      <c r="K85" s="73"/>
      <c r="L85" s="73"/>
      <c r="M85" s="75"/>
    </row>
    <row r="86" spans="2:20" s="34" customFormat="1" ht="18" customHeight="1">
      <c r="B86" s="237" t="s">
        <v>88</v>
      </c>
      <c r="C86" s="171">
        <f>K70</f>
        <v>1118.9853557462352</v>
      </c>
      <c r="D86" s="238"/>
      <c r="E86" s="73"/>
      <c r="F86" s="73"/>
      <c r="G86" s="73"/>
      <c r="H86" s="73"/>
      <c r="I86" s="73"/>
      <c r="J86" s="73"/>
      <c r="K86" s="73"/>
      <c r="L86" s="73"/>
      <c r="M86" s="238"/>
    </row>
    <row r="87" spans="2:20" s="34" customFormat="1" ht="18" customHeight="1">
      <c r="B87" s="237" t="s">
        <v>89</v>
      </c>
      <c r="C87" s="239">
        <v>0.02</v>
      </c>
      <c r="D87" s="75"/>
      <c r="E87" s="73"/>
      <c r="F87" s="73"/>
      <c r="G87" s="73"/>
      <c r="H87" s="73"/>
      <c r="I87" s="73"/>
      <c r="J87" s="73"/>
      <c r="K87" s="73"/>
      <c r="L87" s="73"/>
      <c r="M87" s="75"/>
      <c r="N87" s="262"/>
      <c r="O87" s="262"/>
      <c r="P87" s="262"/>
      <c r="Q87" s="262"/>
      <c r="R87" s="262"/>
      <c r="S87" s="262"/>
      <c r="T87" s="262"/>
    </row>
    <row r="88" spans="2:20" s="34" customFormat="1" ht="18" customHeight="1">
      <c r="B88" s="237" t="s">
        <v>90</v>
      </c>
      <c r="C88" s="171">
        <f>K20</f>
        <v>1601.2179243684168</v>
      </c>
      <c r="D88" s="75"/>
      <c r="E88" s="73"/>
      <c r="F88" s="73"/>
      <c r="G88" s="73"/>
      <c r="H88" s="73"/>
      <c r="I88" s="73"/>
      <c r="J88" s="73"/>
      <c r="K88" s="73"/>
      <c r="L88" s="73"/>
      <c r="M88" s="75"/>
      <c r="P88" s="262"/>
      <c r="Q88" s="262"/>
      <c r="R88" s="262"/>
      <c r="S88" s="262"/>
      <c r="T88" s="262"/>
    </row>
    <row r="89" spans="2:20" s="34" customFormat="1" ht="18" customHeight="1">
      <c r="B89" s="237" t="s">
        <v>91</v>
      </c>
      <c r="C89" s="171">
        <f>C86*(1+C87)/(WACC-C87)</f>
        <v>14250.159957599439</v>
      </c>
      <c r="D89" s="75"/>
      <c r="E89" s="73"/>
      <c r="F89" s="73"/>
      <c r="G89" s="73"/>
      <c r="H89" s="73"/>
      <c r="I89" s="73"/>
      <c r="J89" s="73"/>
      <c r="K89" s="73"/>
      <c r="L89" s="73"/>
      <c r="M89" s="75"/>
      <c r="N89" s="43"/>
      <c r="O89" s="44"/>
      <c r="P89" s="45"/>
      <c r="Q89" s="45"/>
      <c r="R89" s="46"/>
      <c r="S89" s="45"/>
      <c r="T89" s="45"/>
    </row>
    <row r="90" spans="2:20" s="34" customFormat="1" ht="18" customHeight="1">
      <c r="B90" s="240" t="s">
        <v>92</v>
      </c>
      <c r="C90" s="241">
        <f>(C89*(1+WACC)^0.5)/C88</f>
        <v>9.3343562282468966</v>
      </c>
      <c r="D90" s="75"/>
      <c r="E90" s="73"/>
      <c r="F90" s="73"/>
      <c r="G90" s="73"/>
      <c r="H90" s="73"/>
      <c r="I90" s="73"/>
      <c r="J90" s="73"/>
      <c r="K90" s="73"/>
      <c r="L90" s="73"/>
      <c r="M90" s="75"/>
      <c r="N90" s="47"/>
      <c r="O90" s="45"/>
      <c r="P90" s="48"/>
      <c r="Q90" s="48"/>
      <c r="R90" s="48"/>
      <c r="S90" s="48"/>
      <c r="T90" s="48"/>
    </row>
    <row r="91" spans="2:20" s="34" customFormat="1" ht="18" customHeight="1">
      <c r="B91" s="237" t="s">
        <v>73</v>
      </c>
      <c r="C91" s="242">
        <f>K72+0.5</f>
        <v>5</v>
      </c>
      <c r="D91" s="200"/>
      <c r="E91" s="73"/>
      <c r="F91" s="73"/>
      <c r="G91" s="73"/>
      <c r="H91" s="73"/>
      <c r="I91" s="73"/>
      <c r="J91" s="73"/>
      <c r="K91" s="73"/>
      <c r="L91" s="73"/>
      <c r="M91" s="75"/>
      <c r="N91" s="47"/>
      <c r="O91" s="45"/>
      <c r="P91" s="48"/>
      <c r="Q91" s="48"/>
      <c r="R91" s="48"/>
      <c r="S91" s="48"/>
      <c r="T91" s="48"/>
    </row>
    <row r="92" spans="2:20" s="34" customFormat="1" ht="18" customHeight="1">
      <c r="B92" s="237" t="s">
        <v>74</v>
      </c>
      <c r="C92" s="242">
        <f>1/((1+WACC)^C91)</f>
        <v>0.62065356412227046</v>
      </c>
      <c r="D92" s="238"/>
      <c r="E92" s="73"/>
      <c r="F92" s="73"/>
      <c r="G92" s="73"/>
      <c r="H92" s="73"/>
      <c r="I92" s="73"/>
      <c r="J92" s="73"/>
      <c r="K92" s="73"/>
      <c r="L92" s="73"/>
      <c r="M92" s="75"/>
      <c r="N92" s="47"/>
      <c r="O92" s="46"/>
      <c r="P92" s="48"/>
      <c r="Q92" s="48"/>
      <c r="R92" s="49"/>
      <c r="S92" s="48"/>
      <c r="T92" s="48"/>
    </row>
    <row r="93" spans="2:20" s="34" customFormat="1" ht="18" customHeight="1">
      <c r="B93" s="243" t="s">
        <v>93</v>
      </c>
      <c r="C93" s="244">
        <f>C89*C92</f>
        <v>8844.4125669965542</v>
      </c>
      <c r="D93" s="75"/>
      <c r="E93" s="73"/>
      <c r="F93" s="73"/>
      <c r="G93" s="73"/>
      <c r="H93" s="73"/>
      <c r="I93" s="73"/>
      <c r="J93" s="73"/>
      <c r="K93" s="73"/>
      <c r="L93" s="73"/>
      <c r="M93" s="75"/>
      <c r="N93" s="47"/>
      <c r="O93" s="45"/>
      <c r="P93" s="48"/>
      <c r="Q93" s="48"/>
      <c r="R93" s="48"/>
      <c r="S93" s="48"/>
      <c r="T93" s="48"/>
    </row>
    <row r="94" spans="2:20" s="34" customFormat="1" ht="18" customHeight="1">
      <c r="B94" s="94" t="s">
        <v>94</v>
      </c>
      <c r="C94" s="245">
        <f>C93/'割引キャッシュ フロー - EX'!C77</f>
        <v>0.70545674893147048</v>
      </c>
      <c r="D94" s="75"/>
      <c r="E94" s="73"/>
      <c r="F94" s="73"/>
      <c r="G94" s="73"/>
      <c r="H94" s="73"/>
      <c r="I94" s="73"/>
      <c r="J94" s="73"/>
      <c r="K94" s="73"/>
      <c r="L94" s="73"/>
      <c r="M94" s="75"/>
      <c r="N94" s="47"/>
      <c r="O94" s="45"/>
      <c r="P94" s="48"/>
      <c r="Q94" s="48"/>
      <c r="R94" s="48"/>
      <c r="S94" s="48"/>
      <c r="T94" s="48"/>
    </row>
    <row r="95" spans="2:20">
      <c r="B95" s="199"/>
      <c r="C95" s="200"/>
      <c r="D95" s="74"/>
      <c r="E95" s="73"/>
      <c r="F95" s="73"/>
      <c r="G95" s="73"/>
      <c r="H95" s="73"/>
      <c r="I95" s="73"/>
      <c r="J95" s="73"/>
      <c r="K95" s="73"/>
      <c r="L95" s="73"/>
      <c r="M95" s="75"/>
    </row>
    <row r="96" spans="2:20" customFormat="1" ht="50" customHeight="1">
      <c r="B96" s="265" t="s">
        <v>100</v>
      </c>
      <c r="C96" s="265"/>
      <c r="D96" s="265"/>
      <c r="E96" s="265"/>
      <c r="F96" s="265"/>
      <c r="G96" s="265"/>
      <c r="H96" s="265"/>
      <c r="I96" s="265"/>
      <c r="J96" s="265"/>
      <c r="K96" s="265"/>
      <c r="L96" s="265"/>
      <c r="M96" s="265"/>
    </row>
    <row r="97" spans="2:13">
      <c r="B97" s="73"/>
      <c r="C97" s="73"/>
      <c r="D97" s="74"/>
      <c r="E97" s="73"/>
      <c r="F97" s="73"/>
      <c r="G97" s="73"/>
      <c r="H97" s="73"/>
      <c r="I97" s="73"/>
      <c r="J97" s="73"/>
      <c r="K97" s="73"/>
      <c r="L97" s="73"/>
      <c r="M97" s="75"/>
    </row>
    <row r="98" spans="2:13">
      <c r="B98" s="73"/>
      <c r="C98" s="73"/>
      <c r="D98" s="74"/>
      <c r="E98" s="73"/>
      <c r="F98" s="73"/>
      <c r="G98" s="73"/>
      <c r="H98" s="73"/>
      <c r="I98" s="73"/>
      <c r="J98" s="73"/>
      <c r="K98" s="73"/>
      <c r="L98" s="73"/>
      <c r="M98" s="75"/>
    </row>
    <row r="99" spans="2:13">
      <c r="B99" s="73"/>
      <c r="C99" s="73"/>
      <c r="D99" s="74"/>
      <c r="E99" s="73"/>
      <c r="F99" s="73"/>
      <c r="G99" s="73"/>
      <c r="H99" s="73"/>
      <c r="I99" s="73"/>
      <c r="J99" s="73"/>
      <c r="K99" s="73"/>
      <c r="L99" s="73"/>
      <c r="M99" s="75"/>
    </row>
    <row r="100" spans="2:13">
      <c r="D100" s="12"/>
      <c r="L100" s="20"/>
      <c r="M100" s="13"/>
    </row>
    <row r="101" spans="2:13" ht="13">
      <c r="B101" s="28"/>
      <c r="C101" s="27"/>
      <c r="D101" s="12"/>
      <c r="L101" s="20"/>
      <c r="M101" s="13"/>
    </row>
    <row r="102" spans="2:13">
      <c r="D102" s="12"/>
      <c r="L102" s="20"/>
      <c r="M102" s="13"/>
    </row>
    <row r="103" spans="2:13">
      <c r="D103" s="12"/>
      <c r="L103" s="20"/>
      <c r="M103" s="13"/>
    </row>
    <row r="104" spans="2:13">
      <c r="D104" s="12"/>
      <c r="E104" s="30"/>
      <c r="F104" s="13"/>
      <c r="G104" s="13"/>
      <c r="H104" s="13"/>
      <c r="I104" s="13"/>
      <c r="J104" s="13"/>
      <c r="K104" s="13"/>
      <c r="L104" s="13"/>
      <c r="M104" s="13"/>
    </row>
    <row r="105" spans="2:13">
      <c r="D105" s="10"/>
      <c r="E105" s="31"/>
      <c r="F105" s="31"/>
      <c r="G105" s="32"/>
      <c r="H105" s="32"/>
      <c r="I105" s="32"/>
      <c r="J105" s="32"/>
      <c r="K105" s="32"/>
      <c r="L105" s="31"/>
      <c r="M105" s="31"/>
    </row>
    <row r="106" spans="2:13">
      <c r="E106" s="22"/>
      <c r="F106" s="22"/>
      <c r="G106" s="22"/>
      <c r="H106" s="22"/>
      <c r="I106" s="22"/>
      <c r="J106" s="22"/>
      <c r="K106" s="22"/>
      <c r="L106" s="33"/>
      <c r="M106" s="33"/>
    </row>
    <row r="107" spans="2:13">
      <c r="E107" s="22"/>
      <c r="F107" s="22"/>
      <c r="G107" s="22"/>
      <c r="H107" s="22"/>
      <c r="I107" s="22"/>
      <c r="J107" s="22"/>
      <c r="K107" s="22"/>
      <c r="L107" s="33"/>
      <c r="M107" s="33"/>
    </row>
    <row r="108" spans="2:13">
      <c r="B108" s="18"/>
      <c r="C108" s="21"/>
    </row>
    <row r="113" spans="2:20">
      <c r="B113" s="18"/>
      <c r="C113" s="15"/>
    </row>
    <row r="114" spans="2:20" s="23" customFormat="1">
      <c r="D114" s="20"/>
      <c r="E114" s="20"/>
      <c r="F114" s="20"/>
      <c r="G114" s="20"/>
      <c r="H114" s="20"/>
      <c r="I114" s="20"/>
      <c r="J114" s="20"/>
      <c r="K114" s="20"/>
      <c r="L114" s="24"/>
      <c r="M114" s="24"/>
      <c r="N114" s="20"/>
      <c r="O114" s="20"/>
      <c r="P114" s="20"/>
      <c r="Q114" s="20"/>
      <c r="R114" s="20"/>
      <c r="S114" s="20"/>
      <c r="T114" s="20"/>
    </row>
    <row r="115" spans="2:20" s="23" customFormat="1">
      <c r="B115" s="19"/>
      <c r="C115" s="17"/>
      <c r="D115" s="20"/>
      <c r="E115" s="20"/>
      <c r="F115" s="20"/>
      <c r="G115" s="20"/>
      <c r="H115" s="20"/>
      <c r="I115" s="20"/>
      <c r="J115" s="20"/>
      <c r="K115" s="20"/>
      <c r="L115" s="24"/>
      <c r="M115" s="24"/>
    </row>
    <row r="116" spans="2:20">
      <c r="C116" s="29"/>
      <c r="N116" s="23"/>
      <c r="O116" s="23"/>
      <c r="P116" s="23"/>
      <c r="Q116" s="23"/>
      <c r="R116" s="23"/>
      <c r="S116" s="23"/>
      <c r="T116" s="23"/>
    </row>
    <row r="117" spans="2:20">
      <c r="C117" s="17"/>
      <c r="D117" s="2"/>
      <c r="E117" s="2"/>
      <c r="F117" s="2"/>
    </row>
    <row r="118" spans="2:20">
      <c r="C118" s="17"/>
      <c r="D118" s="2"/>
      <c r="E118" s="2"/>
      <c r="F118" s="2"/>
    </row>
    <row r="119" spans="2:20">
      <c r="C119" s="17"/>
      <c r="D119" s="2"/>
      <c r="E119" s="2"/>
      <c r="F119" s="2"/>
      <c r="L119" s="2"/>
      <c r="M119" s="2"/>
    </row>
    <row r="120" spans="2:20">
      <c r="C120" s="22"/>
      <c r="D120" s="4"/>
      <c r="E120" s="4"/>
      <c r="F120" s="4"/>
      <c r="G120" s="4"/>
      <c r="H120" s="4"/>
      <c r="I120" s="4"/>
      <c r="J120" s="4"/>
      <c r="K120" s="4"/>
      <c r="L120" s="4"/>
      <c r="M120" s="4"/>
    </row>
    <row r="121" spans="2:20">
      <c r="B121" s="1"/>
      <c r="C121" s="5"/>
      <c r="D121" s="5"/>
      <c r="E121" s="5"/>
      <c r="F121" s="5"/>
      <c r="L121" s="5"/>
      <c r="M121" s="5"/>
    </row>
    <row r="122" spans="2:20">
      <c r="B122" s="261"/>
      <c r="C122" s="6"/>
      <c r="D122" s="6"/>
      <c r="E122" s="6"/>
      <c r="F122" s="6"/>
      <c r="L122" s="6"/>
      <c r="M122" s="6"/>
    </row>
    <row r="123" spans="2:20">
      <c r="B123" s="261"/>
      <c r="C123" s="5"/>
      <c r="D123" s="5"/>
      <c r="E123" s="5"/>
      <c r="F123" s="5"/>
      <c r="L123" s="5"/>
      <c r="M123" s="5"/>
    </row>
    <row r="124" spans="2:20">
      <c r="B124" s="11"/>
      <c r="C124" s="2"/>
      <c r="D124" s="2"/>
      <c r="E124" s="2"/>
      <c r="F124" s="2"/>
      <c r="L124" s="2"/>
      <c r="M124" s="2"/>
    </row>
    <row r="125" spans="2:20">
      <c r="B125" s="11"/>
      <c r="C125" s="2"/>
      <c r="D125" s="2"/>
      <c r="E125" s="2"/>
      <c r="F125" s="2"/>
      <c r="L125" s="2"/>
      <c r="M125" s="2"/>
    </row>
    <row r="126" spans="2:20">
      <c r="B126" s="11"/>
      <c r="C126" s="7"/>
      <c r="D126" s="7"/>
      <c r="E126" s="7"/>
      <c r="F126" s="7"/>
      <c r="L126" s="7"/>
      <c r="M126" s="7"/>
    </row>
    <row r="127" spans="2:20" s="23" customFormat="1">
      <c r="B127" s="11"/>
      <c r="C127" s="2"/>
      <c r="D127" s="2"/>
      <c r="E127" s="2"/>
      <c r="F127" s="2"/>
      <c r="G127" s="20"/>
      <c r="H127" s="20"/>
      <c r="I127" s="20"/>
      <c r="J127" s="20"/>
      <c r="K127" s="20"/>
      <c r="L127" s="2"/>
      <c r="M127" s="2"/>
      <c r="N127" s="20"/>
      <c r="O127" s="20"/>
      <c r="P127" s="20"/>
      <c r="Q127" s="20"/>
      <c r="R127" s="20"/>
      <c r="S127" s="20"/>
      <c r="T127" s="20"/>
    </row>
    <row r="128" spans="2:20">
      <c r="B128" s="11"/>
      <c r="C128" s="2"/>
      <c r="D128" s="2"/>
      <c r="E128" s="2"/>
      <c r="F128" s="2"/>
      <c r="L128" s="2"/>
      <c r="M128" s="2"/>
      <c r="N128" s="23"/>
      <c r="O128" s="23"/>
      <c r="P128" s="23"/>
      <c r="Q128" s="23"/>
      <c r="R128" s="23"/>
      <c r="S128" s="23"/>
      <c r="T128" s="23"/>
    </row>
    <row r="129" spans="2:13">
      <c r="B129" s="11"/>
      <c r="C129" s="2"/>
      <c r="D129" s="2"/>
      <c r="E129" s="2"/>
      <c r="F129" s="2"/>
      <c r="L129" s="2"/>
      <c r="M129" s="2"/>
    </row>
    <row r="131" spans="2:13">
      <c r="B131" s="3"/>
      <c r="C131" s="8"/>
      <c r="D131" s="8"/>
      <c r="E131" s="8"/>
      <c r="F131" s="8"/>
      <c r="L131" s="8"/>
      <c r="M131" s="8"/>
    </row>
    <row r="132" spans="2:13">
      <c r="B132" s="1"/>
      <c r="C132" s="5"/>
      <c r="D132" s="5"/>
      <c r="E132" s="5"/>
      <c r="F132" s="5"/>
      <c r="L132" s="5"/>
      <c r="M132" s="5"/>
    </row>
    <row r="133" spans="2:13">
      <c r="B133" s="261"/>
      <c r="C133" s="6"/>
      <c r="D133" s="6"/>
      <c r="E133" s="6"/>
      <c r="F133" s="6"/>
      <c r="L133" s="6"/>
      <c r="M133" s="6"/>
    </row>
    <row r="134" spans="2:13">
      <c r="B134" s="261"/>
      <c r="C134" s="5"/>
      <c r="D134" s="5"/>
      <c r="E134" s="5"/>
      <c r="F134" s="5"/>
      <c r="L134" s="5"/>
      <c r="M134" s="5"/>
    </row>
    <row r="135" spans="2:13">
      <c r="B135" s="11"/>
      <c r="C135" s="2"/>
      <c r="D135" s="2"/>
      <c r="E135" s="2"/>
      <c r="F135" s="2"/>
      <c r="L135" s="2"/>
      <c r="M135" s="2"/>
    </row>
    <row r="137" spans="2:13">
      <c r="B137" s="11"/>
      <c r="C137" s="2"/>
      <c r="D137" s="2"/>
      <c r="E137" s="2"/>
      <c r="F137" s="2"/>
      <c r="L137" s="2"/>
      <c r="M137" s="2"/>
    </row>
    <row r="138" spans="2:13">
      <c r="B138" s="11"/>
      <c r="C138" s="2"/>
      <c r="D138" s="2"/>
      <c r="E138" s="2"/>
      <c r="F138" s="2"/>
      <c r="L138" s="2"/>
      <c r="M138" s="2"/>
    </row>
    <row r="139" spans="2:13">
      <c r="B139" s="11"/>
      <c r="C139" s="2"/>
      <c r="D139" s="2"/>
      <c r="E139" s="2"/>
      <c r="F139" s="2"/>
      <c r="L139" s="2"/>
      <c r="M139" s="2"/>
    </row>
    <row r="140" spans="2:13">
      <c r="B140" s="11"/>
      <c r="C140" s="2"/>
      <c r="D140" s="2"/>
      <c r="E140" s="2"/>
      <c r="F140" s="2"/>
      <c r="L140" s="2"/>
      <c r="M140" s="2"/>
    </row>
    <row r="141" spans="2:13">
      <c r="B141" s="11"/>
      <c r="C141" s="2"/>
      <c r="D141" s="2"/>
      <c r="E141" s="2"/>
      <c r="F141" s="2"/>
      <c r="L141" s="2"/>
      <c r="M141" s="2"/>
    </row>
    <row r="142" spans="2:13">
      <c r="B142" s="11"/>
      <c r="C142" s="2"/>
      <c r="D142" s="2"/>
      <c r="E142" s="2"/>
      <c r="F142" s="2"/>
      <c r="L142" s="2"/>
      <c r="M142" s="2"/>
    </row>
    <row r="143" spans="2:13">
      <c r="B143" s="11"/>
      <c r="C143" s="2"/>
      <c r="D143" s="2"/>
      <c r="E143" s="2"/>
      <c r="F143" s="2"/>
      <c r="L143" s="2"/>
      <c r="M143" s="2"/>
    </row>
    <row r="144" spans="2:13">
      <c r="B144" s="9"/>
      <c r="C144" s="6"/>
      <c r="D144" s="6"/>
      <c r="E144" s="6"/>
      <c r="F144" s="6"/>
      <c r="L144" s="6"/>
      <c r="M144" s="6"/>
    </row>
    <row r="145" spans="2:13">
      <c r="B145" s="3"/>
      <c r="C145" s="8"/>
      <c r="D145" s="8"/>
      <c r="E145" s="8"/>
      <c r="F145" s="8"/>
      <c r="L145" s="8"/>
      <c r="M145" s="8"/>
    </row>
    <row r="146" spans="2:13">
      <c r="B146" s="1"/>
      <c r="C146" s="5"/>
      <c r="D146" s="5"/>
      <c r="E146" s="5"/>
      <c r="F146" s="5"/>
      <c r="L146" s="5"/>
      <c r="M146" s="5"/>
    </row>
    <row r="147" spans="2:13">
      <c r="B147" s="261"/>
      <c r="C147" s="6"/>
      <c r="D147" s="6"/>
      <c r="E147" s="6"/>
      <c r="F147" s="6"/>
      <c r="L147" s="6"/>
      <c r="M147" s="6"/>
    </row>
    <row r="148" spans="2:13">
      <c r="B148" s="261"/>
      <c r="C148" s="5"/>
      <c r="D148" s="5"/>
      <c r="E148" s="5"/>
      <c r="F148" s="5"/>
      <c r="L148" s="5"/>
      <c r="M148" s="5"/>
    </row>
    <row r="149" spans="2:13">
      <c r="B149" s="11"/>
      <c r="C149" s="6"/>
      <c r="D149" s="6"/>
      <c r="E149" s="6"/>
      <c r="F149" s="6"/>
      <c r="L149" s="6"/>
      <c r="M149" s="6"/>
    </row>
    <row r="150" spans="2:13">
      <c r="B150" s="11"/>
      <c r="C150" s="6"/>
      <c r="D150" s="6"/>
      <c r="E150" s="6"/>
      <c r="F150" s="6"/>
      <c r="L150" s="6"/>
      <c r="M150" s="6"/>
    </row>
    <row r="151" spans="2:13">
      <c r="B151" s="11"/>
      <c r="C151" s="6"/>
      <c r="D151" s="6"/>
      <c r="E151" s="6"/>
      <c r="F151" s="6"/>
      <c r="L151" s="6"/>
      <c r="M151" s="6"/>
    </row>
    <row r="152" spans="2:13">
      <c r="B152" s="11"/>
      <c r="C152" s="6"/>
      <c r="D152" s="6"/>
      <c r="E152" s="6"/>
      <c r="F152" s="6"/>
      <c r="L152" s="6"/>
      <c r="M152" s="6"/>
    </row>
    <row r="153" spans="2:13">
      <c r="B153" s="11"/>
      <c r="C153" s="6"/>
      <c r="D153" s="6"/>
      <c r="E153" s="6"/>
      <c r="F153" s="6"/>
      <c r="L153" s="6"/>
      <c r="M153" s="6"/>
    </row>
    <row r="154" spans="2:13">
      <c r="B154" s="11"/>
      <c r="C154" s="6"/>
      <c r="D154" s="6"/>
      <c r="E154" s="6"/>
      <c r="F154" s="6"/>
      <c r="L154" s="6"/>
      <c r="M154" s="6"/>
    </row>
    <row r="155" spans="2:13">
      <c r="B155" s="11"/>
      <c r="C155" s="6"/>
      <c r="D155" s="6"/>
      <c r="E155" s="6"/>
      <c r="F155" s="6"/>
      <c r="L155" s="6"/>
      <c r="M155" s="6"/>
    </row>
    <row r="156" spans="2:13">
      <c r="B156" s="11"/>
      <c r="C156" s="6"/>
      <c r="D156" s="6"/>
      <c r="E156" s="6"/>
      <c r="F156" s="6"/>
      <c r="L156" s="6"/>
      <c r="M156" s="6"/>
    </row>
    <row r="157" spans="2:13">
      <c r="B157" s="11"/>
      <c r="C157" s="6"/>
      <c r="D157" s="6"/>
      <c r="E157" s="6"/>
      <c r="F157" s="6"/>
      <c r="L157" s="6"/>
      <c r="M157" s="6"/>
    </row>
    <row r="158" spans="2:13">
      <c r="B158" s="11"/>
      <c r="C158" s="6"/>
      <c r="D158" s="6"/>
      <c r="E158" s="6"/>
      <c r="F158" s="6"/>
      <c r="L158" s="6"/>
      <c r="M158" s="6"/>
    </row>
    <row r="159" spans="2:13">
      <c r="B159" s="11"/>
      <c r="C159" s="6"/>
      <c r="D159" s="6"/>
      <c r="E159" s="6"/>
      <c r="F159" s="6"/>
      <c r="L159" s="6"/>
      <c r="M159" s="6"/>
    </row>
    <row r="160" spans="2:13">
      <c r="B160" s="11"/>
      <c r="C160" s="6"/>
      <c r="D160" s="6"/>
      <c r="E160" s="6"/>
      <c r="F160" s="6"/>
      <c r="L160" s="6"/>
      <c r="M160" s="6"/>
    </row>
    <row r="161" spans="2:13">
      <c r="B161" s="11"/>
      <c r="C161" s="6"/>
      <c r="D161" s="6"/>
      <c r="E161" s="6"/>
      <c r="F161" s="6"/>
      <c r="L161" s="6"/>
      <c r="M161" s="6"/>
    </row>
    <row r="162" spans="2:13">
      <c r="B162" s="11"/>
      <c r="C162" s="6"/>
      <c r="D162" s="6"/>
      <c r="E162" s="6"/>
      <c r="F162" s="6"/>
      <c r="L162" s="6"/>
      <c r="M162" s="6"/>
    </row>
    <row r="163" spans="2:13">
      <c r="B163" s="11"/>
      <c r="C163" s="6"/>
      <c r="D163" s="6"/>
      <c r="E163" s="6"/>
      <c r="F163" s="6"/>
      <c r="L163" s="6"/>
      <c r="M163" s="6"/>
    </row>
    <row r="164" spans="2:13">
      <c r="B164" s="11"/>
      <c r="C164" s="6"/>
      <c r="D164" s="6"/>
      <c r="E164" s="6"/>
      <c r="F164" s="6"/>
      <c r="L164" s="6"/>
      <c r="M164" s="6"/>
    </row>
  </sheetData>
  <mergeCells count="8">
    <mergeCell ref="B96:M96"/>
    <mergeCell ref="B3:C3"/>
    <mergeCell ref="P65:T65"/>
    <mergeCell ref="B133:B134"/>
    <mergeCell ref="B147:B148"/>
    <mergeCell ref="B122:B123"/>
    <mergeCell ref="P88:T88"/>
    <mergeCell ref="N87:T87"/>
  </mergeCells>
  <phoneticPr fontId="39" type="noConversion"/>
  <hyperlinks>
    <hyperlink ref="B96:M96" r:id="rId1" display="ここをクリックして Smartsheet で作成" xr:uid="{74C7F050-0E76-441D-A65E-074413FE953B}"/>
  </hyperlinks>
  <pageMargins left="0.3" right="0.3" top="0.3" bottom="0.3" header="0" footer="0"/>
  <pageSetup paperSize="9" scale="88" fitToHeight="0" orientation="landscape" r:id="rId2"/>
  <ignoredErrors>
    <ignoredError sqref="H67:K67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D235E-2A45-A344-8C23-4713383014DB}">
  <sheetPr>
    <tabColor theme="3" tint="0.39997558519241921"/>
    <pageSetUpPr fitToPage="1"/>
  </sheetPr>
  <dimension ref="B1:EQ163"/>
  <sheetViews>
    <sheetView showGridLines="0" topLeftCell="A19" zoomScaleNormal="100" workbookViewId="0">
      <selection activeCell="G89" sqref="G89"/>
    </sheetView>
  </sheetViews>
  <sheetFormatPr baseColWidth="10" defaultColWidth="13.5" defaultRowHeight="12" outlineLevelRow="1"/>
  <cols>
    <col min="1" max="1" width="3.33203125" style="20" customWidth="1"/>
    <col min="2" max="2" width="36.83203125" style="20" customWidth="1"/>
    <col min="3" max="3" width="11.1640625" style="20" customWidth="1"/>
    <col min="4" max="5" width="9.83203125" style="20" customWidth="1"/>
    <col min="6" max="6" width="11" style="20" customWidth="1"/>
    <col min="7" max="7" width="13.1640625" style="20" customWidth="1"/>
    <col min="8" max="11" width="9.83203125" style="20" customWidth="1"/>
    <col min="12" max="13" width="12.83203125" style="24" customWidth="1"/>
    <col min="14" max="14" width="3.5" style="20" customWidth="1"/>
    <col min="15" max="19" width="7" style="20" customWidth="1"/>
    <col min="20" max="20" width="6.83203125" style="20" customWidth="1"/>
    <col min="21" max="16384" width="13.5" style="20"/>
  </cols>
  <sheetData>
    <row r="1" spans="2:147" s="58" customFormat="1" ht="45" customHeight="1">
      <c r="B1" s="61" t="s">
        <v>95</v>
      </c>
      <c r="C1" s="62"/>
      <c r="D1" s="62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  <c r="CS1" s="59"/>
      <c r="CT1" s="59"/>
      <c r="CU1" s="59"/>
      <c r="CV1" s="59"/>
      <c r="CW1" s="59"/>
      <c r="CX1" s="59"/>
      <c r="CY1" s="59"/>
      <c r="CZ1" s="59"/>
      <c r="DA1" s="59"/>
      <c r="DB1" s="59"/>
      <c r="DC1" s="59"/>
      <c r="DD1" s="59"/>
      <c r="DE1" s="59"/>
      <c r="DF1" s="59"/>
      <c r="DG1" s="59"/>
      <c r="DH1" s="59"/>
      <c r="DI1" s="59"/>
      <c r="DJ1" s="59"/>
      <c r="DK1" s="59"/>
      <c r="DL1" s="59"/>
      <c r="DM1" s="59"/>
      <c r="DN1" s="59"/>
      <c r="DO1" s="59"/>
      <c r="DP1" s="59"/>
      <c r="DQ1" s="59"/>
      <c r="DR1" s="59"/>
      <c r="DS1" s="59"/>
      <c r="DT1" s="59"/>
      <c r="DU1" s="59"/>
      <c r="DV1" s="59"/>
      <c r="DW1" s="59"/>
      <c r="DX1" s="59"/>
      <c r="DY1" s="59"/>
      <c r="DZ1" s="59"/>
      <c r="EA1" s="59"/>
      <c r="EB1" s="59"/>
      <c r="EC1" s="59"/>
      <c r="ED1" s="59"/>
      <c r="EE1" s="59"/>
      <c r="EF1" s="59"/>
      <c r="EG1" s="59"/>
      <c r="EH1" s="59"/>
      <c r="EI1" s="59"/>
      <c r="EJ1" s="59"/>
      <c r="EK1" s="59"/>
      <c r="EL1" s="59"/>
      <c r="EM1" s="59"/>
      <c r="EN1" s="59"/>
      <c r="EO1" s="59"/>
      <c r="EP1" s="59"/>
      <c r="EQ1" s="59"/>
    </row>
    <row r="2" spans="2:147" s="22" customFormat="1" ht="25" customHeight="1">
      <c r="B2" s="64" t="s">
        <v>11</v>
      </c>
      <c r="C2" s="65"/>
      <c r="D2" s="66"/>
      <c r="E2" s="65"/>
      <c r="F2" s="65"/>
      <c r="G2" s="65"/>
      <c r="H2" s="65"/>
      <c r="I2" s="65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spans="2:147" s="22" customFormat="1" ht="45" customHeight="1">
      <c r="B3" s="259" t="s">
        <v>96</v>
      </c>
      <c r="C3" s="259"/>
      <c r="D3" s="67"/>
      <c r="E3" s="65"/>
      <c r="F3" s="65"/>
      <c r="G3" s="65"/>
      <c r="H3" s="65"/>
      <c r="I3" s="65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</row>
    <row r="4" spans="2:147" s="25" customFormat="1" ht="25" customHeight="1">
      <c r="B4" s="68" t="s">
        <v>13</v>
      </c>
      <c r="C4" s="69">
        <v>2022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</row>
    <row r="5" spans="2:147" s="25" customFormat="1" ht="25" customHeight="1" thickBot="1">
      <c r="B5" s="71" t="s">
        <v>14</v>
      </c>
      <c r="C5" s="72">
        <v>0.01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</row>
    <row r="6" spans="2:147" ht="15" customHeight="1">
      <c r="B6" s="73"/>
      <c r="C6" s="73"/>
      <c r="D6" s="74"/>
      <c r="E6" s="73"/>
      <c r="F6" s="73"/>
      <c r="G6" s="73"/>
      <c r="H6" s="73"/>
      <c r="I6" s="73"/>
      <c r="J6" s="73"/>
      <c r="K6" s="73"/>
      <c r="L6" s="73"/>
      <c r="M6" s="75"/>
      <c r="N6" s="73"/>
      <c r="O6" s="73"/>
      <c r="P6" s="73"/>
      <c r="Q6" s="73"/>
      <c r="R6" s="73"/>
      <c r="S6" s="73"/>
      <c r="T6" s="73"/>
    </row>
    <row r="7" spans="2:147" s="22" customFormat="1" ht="25" customHeight="1">
      <c r="B7" s="64" t="s">
        <v>15</v>
      </c>
      <c r="C7" s="65"/>
      <c r="D7" s="65"/>
      <c r="E7" s="65"/>
      <c r="F7" s="65"/>
      <c r="G7" s="65"/>
      <c r="H7" s="65"/>
      <c r="I7" s="65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</row>
    <row r="8" spans="2:147" s="34" customFormat="1" ht="18" customHeight="1">
      <c r="B8" s="73"/>
      <c r="C8" s="76" t="s">
        <v>16</v>
      </c>
      <c r="D8" s="76"/>
      <c r="E8" s="76"/>
      <c r="F8" s="77"/>
      <c r="G8" s="78" t="s">
        <v>17</v>
      </c>
      <c r="H8" s="79"/>
      <c r="I8" s="79"/>
      <c r="J8" s="80"/>
      <c r="K8" s="81"/>
      <c r="L8" s="82" t="s">
        <v>4</v>
      </c>
      <c r="M8" s="82" t="s">
        <v>4</v>
      </c>
      <c r="N8" s="73"/>
      <c r="O8" s="73"/>
      <c r="P8" s="73"/>
      <c r="Q8" s="73"/>
      <c r="R8" s="73"/>
      <c r="S8" s="73"/>
      <c r="T8" s="73"/>
    </row>
    <row r="9" spans="2:147" s="34" customFormat="1" ht="18" customHeight="1">
      <c r="B9" s="73"/>
      <c r="C9" s="83">
        <f t="shared" ref="C9:D9" si="0">D9-1</f>
        <v>2019</v>
      </c>
      <c r="D9" s="83">
        <f t="shared" si="0"/>
        <v>2020</v>
      </c>
      <c r="E9" s="83">
        <f>F9-1</f>
        <v>2021</v>
      </c>
      <c r="F9" s="84">
        <f>'割引キャッシュ フロー - 空白'!C4</f>
        <v>2022</v>
      </c>
      <c r="G9" s="85">
        <f>F9+1</f>
        <v>2023</v>
      </c>
      <c r="H9" s="85">
        <f>G9+1</f>
        <v>2024</v>
      </c>
      <c r="I9" s="85">
        <f t="shared" ref="I9:K9" si="1">H9+1</f>
        <v>2025</v>
      </c>
      <c r="J9" s="85">
        <f t="shared" si="1"/>
        <v>2026</v>
      </c>
      <c r="K9" s="86">
        <f t="shared" si="1"/>
        <v>2027</v>
      </c>
      <c r="L9" s="87" t="str">
        <f>C9&amp;"-"&amp;F9&amp;"A"</f>
        <v>2019-2022A</v>
      </c>
      <c r="M9" s="87" t="str">
        <f>G9&amp;"-"&amp;K9&amp;"E"</f>
        <v>2023-2027E</v>
      </c>
      <c r="N9" s="73"/>
      <c r="O9" s="73"/>
      <c r="P9" s="73"/>
      <c r="Q9" s="73"/>
      <c r="R9" s="73"/>
      <c r="S9" s="73"/>
      <c r="T9" s="73"/>
    </row>
    <row r="10" spans="2:147" s="34" customFormat="1" ht="18" customHeight="1">
      <c r="B10" s="88" t="s">
        <v>18</v>
      </c>
      <c r="C10" s="89">
        <v>1</v>
      </c>
      <c r="D10" s="89">
        <v>1</v>
      </c>
      <c r="E10" s="89">
        <v>1</v>
      </c>
      <c r="F10" s="90">
        <v>1</v>
      </c>
      <c r="G10" s="91">
        <f>F10*(1+G11)</f>
        <v>1.01</v>
      </c>
      <c r="H10" s="91">
        <f t="shared" ref="H10:K10" si="2">G10*(1+H11)</f>
        <v>1.01</v>
      </c>
      <c r="I10" s="91">
        <f t="shared" si="2"/>
        <v>0.99990000000000001</v>
      </c>
      <c r="J10" s="91">
        <f t="shared" si="2"/>
        <v>0.97990199999999994</v>
      </c>
      <c r="K10" s="92">
        <f t="shared" si="2"/>
        <v>0.95050493999999996</v>
      </c>
      <c r="L10" s="93">
        <f>(F10/C10)^(1/3)-1</f>
        <v>0</v>
      </c>
      <c r="M10" s="93">
        <f>(K10/G10)^(1/4)-1</f>
        <v>-1.5063456436968159E-2</v>
      </c>
      <c r="N10" s="73"/>
      <c r="O10" s="73"/>
      <c r="P10" s="73"/>
      <c r="Q10" s="73"/>
      <c r="R10" s="73"/>
      <c r="S10" s="73"/>
      <c r="T10" s="73"/>
    </row>
    <row r="11" spans="2:147" s="34" customFormat="1" ht="18" customHeight="1">
      <c r="B11" s="94" t="s">
        <v>19</v>
      </c>
      <c r="C11" s="93"/>
      <c r="D11" s="93">
        <f>(D10/C10)-1</f>
        <v>0</v>
      </c>
      <c r="E11" s="93">
        <f>(E10/D10)-1</f>
        <v>0</v>
      </c>
      <c r="F11" s="95">
        <f>(F10/E10)-1</f>
        <v>0</v>
      </c>
      <c r="G11" s="96">
        <v>0.01</v>
      </c>
      <c r="H11" s="97">
        <f>G11-1%</f>
        <v>0</v>
      </c>
      <c r="I11" s="97">
        <f t="shared" ref="I11:K11" si="3">H11-1%</f>
        <v>-0.01</v>
      </c>
      <c r="J11" s="97">
        <f t="shared" si="3"/>
        <v>-0.02</v>
      </c>
      <c r="K11" s="98">
        <f t="shared" si="3"/>
        <v>-0.03</v>
      </c>
      <c r="L11" s="93"/>
      <c r="M11" s="93"/>
      <c r="N11" s="73"/>
      <c r="O11" s="73"/>
      <c r="P11" s="73"/>
      <c r="Q11" s="73"/>
      <c r="R11" s="73"/>
      <c r="S11" s="73"/>
      <c r="T11" s="73"/>
    </row>
    <row r="12" spans="2:147" s="34" customFormat="1" ht="18" customHeight="1">
      <c r="B12" s="99" t="s">
        <v>6</v>
      </c>
      <c r="C12" s="100">
        <v>1</v>
      </c>
      <c r="D12" s="100">
        <v>1</v>
      </c>
      <c r="E12" s="100">
        <v>1</v>
      </c>
      <c r="F12" s="101">
        <v>1</v>
      </c>
      <c r="G12" s="102">
        <f>-(G10-G13)</f>
        <v>1143.6971087500001</v>
      </c>
      <c r="H12" s="102">
        <f>-(H10-H13)</f>
        <v>1143.6971087500001</v>
      </c>
      <c r="I12" s="102">
        <f>-(I10-I13)</f>
        <v>1132.2601376625</v>
      </c>
      <c r="J12" s="102">
        <f>-(J10-J13)</f>
        <v>1109.61493490925</v>
      </c>
      <c r="K12" s="103">
        <f>-(K10-K13)</f>
        <v>1076.3264868619726</v>
      </c>
      <c r="L12" s="104">
        <f>IFERROR((F12/C12)^(1/3)-1,"N/A")</f>
        <v>0</v>
      </c>
      <c r="M12" s="104">
        <f>IFERROR((K12/G12)^(1/4)-1,"N/A")</f>
        <v>-1.5063456436968159E-2</v>
      </c>
      <c r="N12" s="73"/>
      <c r="O12" s="73"/>
      <c r="P12" s="73"/>
      <c r="Q12" s="73"/>
      <c r="R12" s="73"/>
      <c r="S12" s="73"/>
      <c r="T12" s="73"/>
    </row>
    <row r="13" spans="2:147" s="34" customFormat="1" ht="18" customHeight="1">
      <c r="B13" s="105" t="s">
        <v>20</v>
      </c>
      <c r="C13" s="106">
        <v>857.03700000000003</v>
      </c>
      <c r="D13" s="106">
        <v>1052.5894999999998</v>
      </c>
      <c r="E13" s="106">
        <v>1271.713</v>
      </c>
      <c r="F13" s="107">
        <v>1352.154</v>
      </c>
      <c r="G13" s="108">
        <f>G14*G10</f>
        <v>1144.7071087500001</v>
      </c>
      <c r="H13" s="108">
        <f>H14*H10</f>
        <v>1144.7071087500001</v>
      </c>
      <c r="I13" s="108">
        <f>I14*I10</f>
        <v>1133.2600376625001</v>
      </c>
      <c r="J13" s="108">
        <f>J14*J10</f>
        <v>1110.59483690925</v>
      </c>
      <c r="K13" s="109">
        <f>K14*K10</f>
        <v>1077.2769918019726</v>
      </c>
      <c r="L13" s="110">
        <f>IFERROR((F13/C13)^(1/3)-1,"N/A")</f>
        <v>0.16414978383876488</v>
      </c>
      <c r="M13" s="110">
        <f>IFERROR((K13/G13)^(1/4)-1,"N/A")</f>
        <v>-1.5063456436968159E-2</v>
      </c>
      <c r="N13" s="73"/>
      <c r="O13" s="73"/>
      <c r="P13" s="73"/>
      <c r="Q13" s="73"/>
      <c r="R13" s="73"/>
      <c r="S13" s="73"/>
      <c r="T13" s="73"/>
    </row>
    <row r="14" spans="2:147" s="34" customFormat="1" ht="18" customHeight="1">
      <c r="B14" s="111" t="s">
        <v>21</v>
      </c>
      <c r="C14" s="93">
        <f>C13/C10</f>
        <v>857.03700000000003</v>
      </c>
      <c r="D14" s="93">
        <f>D13/D10</f>
        <v>1052.5894999999998</v>
      </c>
      <c r="E14" s="93">
        <f>E13/E10</f>
        <v>1271.713</v>
      </c>
      <c r="F14" s="95">
        <f>F13/F10</f>
        <v>1352.154</v>
      </c>
      <c r="G14" s="112">
        <f>AVERAGE(C14:F14)</f>
        <v>1133.3733750000001</v>
      </c>
      <c r="H14" s="97">
        <f>G14</f>
        <v>1133.3733750000001</v>
      </c>
      <c r="I14" s="97">
        <f t="shared" ref="I14:K14" si="4">H14</f>
        <v>1133.3733750000001</v>
      </c>
      <c r="J14" s="97">
        <f t="shared" si="4"/>
        <v>1133.3733750000001</v>
      </c>
      <c r="K14" s="98">
        <f t="shared" si="4"/>
        <v>1133.3733750000001</v>
      </c>
      <c r="L14" s="93"/>
      <c r="M14" s="93"/>
      <c r="N14" s="73"/>
      <c r="O14" s="73"/>
      <c r="P14" s="73"/>
      <c r="Q14" s="73"/>
      <c r="R14" s="73"/>
      <c r="S14" s="73"/>
      <c r="T14" s="73"/>
    </row>
    <row r="15" spans="2:147" s="34" customFormat="1" ht="18" customHeight="1">
      <c r="B15" s="99" t="s">
        <v>5</v>
      </c>
      <c r="C15" s="89">
        <v>1</v>
      </c>
      <c r="D15" s="89">
        <v>1</v>
      </c>
      <c r="E15" s="89">
        <v>1</v>
      </c>
      <c r="F15" s="90">
        <v>1</v>
      </c>
      <c r="G15" s="91">
        <f>F15*(1+G16)</f>
        <v>1.04</v>
      </c>
      <c r="H15" s="91">
        <f t="shared" ref="H15:K15" si="5">G15*(1+H16)</f>
        <v>1.07952</v>
      </c>
      <c r="I15" s="91">
        <f t="shared" si="5"/>
        <v>1.1184906720000001</v>
      </c>
      <c r="J15" s="91">
        <f t="shared" si="5"/>
        <v>1.15684930959624</v>
      </c>
      <c r="K15" s="92">
        <f t="shared" si="5"/>
        <v>1.194539749315213</v>
      </c>
      <c r="L15" s="104">
        <f>IFERROR((F15/C15)^(1/3)-1,"N/A")</f>
        <v>0</v>
      </c>
      <c r="M15" s="104">
        <f>IFERROR((K15/G15)^(1/4)-1,"N/A")</f>
        <v>3.5241841550752939E-2</v>
      </c>
      <c r="N15" s="73"/>
      <c r="O15" s="73"/>
      <c r="P15" s="73"/>
      <c r="Q15" s="73"/>
      <c r="R15" s="73"/>
      <c r="S15" s="73"/>
      <c r="T15" s="73"/>
    </row>
    <row r="16" spans="2:147" s="34" customFormat="1" ht="18" customHeight="1">
      <c r="B16" s="111" t="s">
        <v>19</v>
      </c>
      <c r="C16" s="93"/>
      <c r="D16" s="93">
        <f>(D15/C15)-1</f>
        <v>0</v>
      </c>
      <c r="E16" s="93">
        <f>(E15/D15)-1</f>
        <v>0</v>
      </c>
      <c r="F16" s="95">
        <f>(F15/E15)-1</f>
        <v>0</v>
      </c>
      <c r="G16" s="112">
        <v>0.04</v>
      </c>
      <c r="H16" s="112">
        <f>G16*0.95</f>
        <v>3.7999999999999999E-2</v>
      </c>
      <c r="I16" s="112">
        <f t="shared" ref="I16:K16" si="6">H16*0.95</f>
        <v>3.61E-2</v>
      </c>
      <c r="J16" s="112">
        <f t="shared" si="6"/>
        <v>3.4294999999999999E-2</v>
      </c>
      <c r="K16" s="113">
        <f t="shared" si="6"/>
        <v>3.2580249999999998E-2</v>
      </c>
      <c r="L16" s="93"/>
      <c r="M16" s="93"/>
      <c r="N16" s="73"/>
      <c r="O16" s="73"/>
      <c r="P16" s="73"/>
      <c r="Q16" s="73"/>
      <c r="R16" s="73"/>
      <c r="S16" s="73"/>
      <c r="T16" s="73"/>
    </row>
    <row r="17" spans="2:20" s="38" customFormat="1" ht="18" customHeight="1">
      <c r="B17" s="94" t="s">
        <v>22</v>
      </c>
      <c r="C17" s="93">
        <f t="shared" ref="C17:K17" si="7">-C15/C10</f>
        <v>-1</v>
      </c>
      <c r="D17" s="93">
        <f t="shared" si="7"/>
        <v>-1</v>
      </c>
      <c r="E17" s="93">
        <f t="shared" si="7"/>
        <v>-1</v>
      </c>
      <c r="F17" s="95">
        <f t="shared" si="7"/>
        <v>-1</v>
      </c>
      <c r="G17" s="114">
        <f t="shared" si="7"/>
        <v>-1.0297029702970297</v>
      </c>
      <c r="H17" s="114">
        <f t="shared" si="7"/>
        <v>-1.0688316831683169</v>
      </c>
      <c r="I17" s="114">
        <f t="shared" si="7"/>
        <v>-1.1186025322532254</v>
      </c>
      <c r="J17" s="114">
        <f t="shared" si="7"/>
        <v>-1.1805765368335202</v>
      </c>
      <c r="K17" s="115">
        <f t="shared" si="7"/>
        <v>-1.2567422840697842</v>
      </c>
      <c r="L17" s="93"/>
      <c r="M17" s="93"/>
      <c r="N17" s="246"/>
      <c r="O17" s="246"/>
      <c r="P17" s="246"/>
      <c r="Q17" s="246"/>
      <c r="R17" s="246"/>
      <c r="S17" s="246"/>
      <c r="T17" s="246"/>
    </row>
    <row r="18" spans="2:20" s="34" customFormat="1" ht="18" customHeight="1">
      <c r="B18" s="116" t="s">
        <v>23</v>
      </c>
      <c r="C18" s="117">
        <f t="shared" ref="C18:K18" si="8">C15+C12</f>
        <v>2</v>
      </c>
      <c r="D18" s="117">
        <f t="shared" si="8"/>
        <v>2</v>
      </c>
      <c r="E18" s="117">
        <f t="shared" si="8"/>
        <v>2</v>
      </c>
      <c r="F18" s="118">
        <f t="shared" si="8"/>
        <v>2</v>
      </c>
      <c r="G18" s="119">
        <f t="shared" si="8"/>
        <v>1144.7371087500001</v>
      </c>
      <c r="H18" s="119">
        <f t="shared" si="8"/>
        <v>1144.7766287500001</v>
      </c>
      <c r="I18" s="119">
        <f t="shared" si="8"/>
        <v>1133.3786283345</v>
      </c>
      <c r="J18" s="119">
        <f t="shared" si="8"/>
        <v>1110.7717842188463</v>
      </c>
      <c r="K18" s="120">
        <f t="shared" si="8"/>
        <v>1077.5210266112879</v>
      </c>
      <c r="L18" s="121">
        <f>(F18/C18)^(1/3)-1</f>
        <v>0</v>
      </c>
      <c r="M18" s="121">
        <f>(K18/G18)^(1/4)-1</f>
        <v>-1.5014135386654859E-2</v>
      </c>
      <c r="N18" s="73"/>
      <c r="O18" s="73"/>
      <c r="P18" s="73"/>
      <c r="Q18" s="73"/>
      <c r="R18" s="73"/>
      <c r="S18" s="73"/>
      <c r="T18" s="73"/>
    </row>
    <row r="19" spans="2:20" s="34" customFormat="1" ht="18" customHeight="1">
      <c r="B19" s="111" t="s">
        <v>19</v>
      </c>
      <c r="C19" s="93"/>
      <c r="D19" s="93">
        <f>(D18/C18)-1</f>
        <v>0</v>
      </c>
      <c r="E19" s="93">
        <f>(E18/D18)-1</f>
        <v>0</v>
      </c>
      <c r="F19" s="95">
        <f>(F18/E18)-1</f>
        <v>0</v>
      </c>
      <c r="G19" s="114">
        <f t="shared" ref="G19:K19" si="9">(G18/F18)-1</f>
        <v>571.36855437500003</v>
      </c>
      <c r="H19" s="114">
        <f t="shared" si="9"/>
        <v>3.4523210349357569E-5</v>
      </c>
      <c r="I19" s="114">
        <f t="shared" si="9"/>
        <v>-9.9565278756134079E-3</v>
      </c>
      <c r="J19" s="114">
        <f t="shared" si="9"/>
        <v>-1.994641821407428E-2</v>
      </c>
      <c r="K19" s="115">
        <f t="shared" si="9"/>
        <v>-2.9934823768450469E-2</v>
      </c>
      <c r="L19" s="93"/>
      <c r="M19" s="93"/>
      <c r="N19" s="73"/>
      <c r="O19" s="73"/>
      <c r="P19" s="73"/>
      <c r="Q19" s="73"/>
      <c r="R19" s="73"/>
      <c r="S19" s="73"/>
      <c r="T19" s="73"/>
    </row>
    <row r="20" spans="2:20" s="34" customFormat="1" ht="18" customHeight="1">
      <c r="B20" s="116" t="s">
        <v>0</v>
      </c>
      <c r="C20" s="122">
        <f t="shared" ref="C20:K20" si="10">C18+C10</f>
        <v>3</v>
      </c>
      <c r="D20" s="122">
        <f t="shared" si="10"/>
        <v>3</v>
      </c>
      <c r="E20" s="122">
        <f t="shared" si="10"/>
        <v>3</v>
      </c>
      <c r="F20" s="123">
        <f t="shared" si="10"/>
        <v>3</v>
      </c>
      <c r="G20" s="124">
        <f t="shared" si="10"/>
        <v>1145.7471087500001</v>
      </c>
      <c r="H20" s="124">
        <f t="shared" si="10"/>
        <v>1145.7866287500001</v>
      </c>
      <c r="I20" s="124">
        <f t="shared" si="10"/>
        <v>1134.3785283345001</v>
      </c>
      <c r="J20" s="124">
        <f t="shared" si="10"/>
        <v>1111.7516862188463</v>
      </c>
      <c r="K20" s="125">
        <f t="shared" si="10"/>
        <v>1078.4715315512879</v>
      </c>
      <c r="L20" s="121">
        <f>(F20/C20)^(1/3)-1</f>
        <v>0</v>
      </c>
      <c r="M20" s="121">
        <f>(K20/G20)^(1/4)-1</f>
        <v>-1.501417886092804E-2</v>
      </c>
      <c r="N20" s="73"/>
      <c r="O20" s="73"/>
      <c r="P20" s="73"/>
      <c r="Q20" s="73"/>
      <c r="R20" s="73"/>
      <c r="S20" s="73"/>
      <c r="T20" s="73"/>
    </row>
    <row r="21" spans="2:20" s="34" customFormat="1" ht="18" customHeight="1">
      <c r="B21" s="111" t="s">
        <v>21</v>
      </c>
      <c r="C21" s="93">
        <f t="shared" ref="C21:K21" si="11">C20/C10</f>
        <v>3</v>
      </c>
      <c r="D21" s="93">
        <f t="shared" si="11"/>
        <v>3</v>
      </c>
      <c r="E21" s="93">
        <f t="shared" si="11"/>
        <v>3</v>
      </c>
      <c r="F21" s="95">
        <f t="shared" si="11"/>
        <v>3</v>
      </c>
      <c r="G21" s="114">
        <f t="shared" si="11"/>
        <v>1134.4030779702971</v>
      </c>
      <c r="H21" s="114">
        <f t="shared" si="11"/>
        <v>1134.4422066831685</v>
      </c>
      <c r="I21" s="114">
        <f t="shared" si="11"/>
        <v>1134.4919775322533</v>
      </c>
      <c r="J21" s="114">
        <f t="shared" si="11"/>
        <v>1134.5539515368337</v>
      </c>
      <c r="K21" s="115">
        <f t="shared" si="11"/>
        <v>1134.6301172840699</v>
      </c>
      <c r="L21" s="93"/>
      <c r="M21" s="93"/>
      <c r="N21" s="73"/>
      <c r="O21" s="73"/>
      <c r="P21" s="73"/>
      <c r="Q21" s="73"/>
      <c r="R21" s="73"/>
      <c r="S21" s="73"/>
      <c r="T21" s="73"/>
    </row>
    <row r="22" spans="2:20" s="34" customFormat="1" ht="18" customHeight="1">
      <c r="B22" s="88" t="s">
        <v>24</v>
      </c>
      <c r="C22" s="89">
        <v>1</v>
      </c>
      <c r="D22" s="89">
        <v>1</v>
      </c>
      <c r="E22" s="89">
        <v>1</v>
      </c>
      <c r="F22" s="90">
        <v>1</v>
      </c>
      <c r="G22" s="126">
        <f>-G10*G23</f>
        <v>1.01</v>
      </c>
      <c r="H22" s="126">
        <f>-H10*H23</f>
        <v>1.01</v>
      </c>
      <c r="I22" s="126">
        <f>-I10*I23</f>
        <v>0.99990000000000001</v>
      </c>
      <c r="J22" s="126">
        <f>-J10*J23</f>
        <v>0.97990199999999994</v>
      </c>
      <c r="K22" s="127">
        <f>-K10*K23</f>
        <v>0.95050493999999996</v>
      </c>
      <c r="L22" s="104">
        <f>IFERROR((F22/C22)^(1/3)-1,"N/A")</f>
        <v>0</v>
      </c>
      <c r="M22" s="104">
        <f>IFERROR((K22/G22)^(1/4)-1,"N/A")</f>
        <v>-1.5063456436968159E-2</v>
      </c>
      <c r="N22" s="73"/>
      <c r="O22" s="73"/>
      <c r="P22" s="73"/>
      <c r="Q22" s="73"/>
      <c r="R22" s="73"/>
      <c r="S22" s="73"/>
      <c r="T22" s="73"/>
    </row>
    <row r="23" spans="2:20" s="38" customFormat="1" ht="18" customHeight="1">
      <c r="B23" s="94" t="s">
        <v>22</v>
      </c>
      <c r="C23" s="93">
        <f>-(C22/C10)</f>
        <v>-1</v>
      </c>
      <c r="D23" s="93">
        <f>-(D22/D10)</f>
        <v>-1</v>
      </c>
      <c r="E23" s="93">
        <f>-(E22/E10)</f>
        <v>-1</v>
      </c>
      <c r="F23" s="95">
        <f>-(F22/F10)</f>
        <v>-1</v>
      </c>
      <c r="G23" s="112">
        <f>AVERAGE(C23:F23)</f>
        <v>-1</v>
      </c>
      <c r="H23" s="112">
        <f>G23</f>
        <v>-1</v>
      </c>
      <c r="I23" s="112">
        <f t="shared" ref="I23:K23" si="12">H23</f>
        <v>-1</v>
      </c>
      <c r="J23" s="112">
        <f t="shared" si="12"/>
        <v>-1</v>
      </c>
      <c r="K23" s="113">
        <f t="shared" si="12"/>
        <v>-1</v>
      </c>
      <c r="L23" s="93"/>
      <c r="M23" s="93"/>
      <c r="N23" s="246"/>
      <c r="O23" s="246"/>
      <c r="P23" s="246"/>
      <c r="Q23" s="246"/>
      <c r="R23" s="246"/>
      <c r="S23" s="246"/>
      <c r="T23" s="246"/>
    </row>
    <row r="24" spans="2:20" ht="15" customHeight="1">
      <c r="B24" s="73"/>
      <c r="C24" s="73"/>
      <c r="D24" s="74"/>
      <c r="E24" s="73"/>
      <c r="F24" s="73"/>
      <c r="G24" s="73"/>
      <c r="H24" s="73"/>
      <c r="I24" s="73"/>
      <c r="J24" s="73"/>
      <c r="K24" s="73"/>
      <c r="L24" s="73"/>
      <c r="M24" s="75"/>
      <c r="N24" s="73"/>
      <c r="O24" s="73"/>
      <c r="P24" s="73"/>
      <c r="Q24" s="73"/>
      <c r="R24" s="73"/>
      <c r="S24" s="73"/>
      <c r="T24" s="73"/>
    </row>
    <row r="25" spans="2:20" s="22" customFormat="1" ht="25" customHeight="1" outlineLevel="1">
      <c r="B25" s="128" t="s">
        <v>25</v>
      </c>
      <c r="C25" s="65"/>
      <c r="D25" s="65"/>
      <c r="E25" s="65"/>
      <c r="F25" s="65"/>
      <c r="G25" s="65"/>
      <c r="H25" s="65"/>
      <c r="I25" s="65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</row>
    <row r="26" spans="2:20" s="22" customFormat="1" ht="25" customHeight="1" outlineLevel="1">
      <c r="B26" s="129" t="s">
        <v>26</v>
      </c>
      <c r="C26" s="65"/>
      <c r="D26" s="65"/>
      <c r="E26" s="65"/>
      <c r="F26" s="65"/>
      <c r="G26" s="65"/>
      <c r="H26" s="65"/>
      <c r="I26" s="65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</row>
    <row r="27" spans="2:20" s="22" customFormat="1" ht="18" customHeight="1" outlineLevel="1">
      <c r="B27" s="130" t="s">
        <v>53</v>
      </c>
      <c r="C27" s="65"/>
      <c r="D27" s="65"/>
      <c r="E27" s="65"/>
      <c r="F27" s="65"/>
      <c r="G27" s="65"/>
      <c r="H27" s="65"/>
      <c r="I27" s="65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</row>
    <row r="28" spans="2:20" s="32" customFormat="1" ht="45" customHeight="1" outlineLevel="1">
      <c r="B28" s="131" t="s">
        <v>28</v>
      </c>
      <c r="C28" s="132" t="s">
        <v>29</v>
      </c>
      <c r="D28" s="132" t="s">
        <v>30</v>
      </c>
      <c r="E28" s="132" t="s">
        <v>31</v>
      </c>
      <c r="F28" s="132" t="s">
        <v>32</v>
      </c>
      <c r="G28" s="132" t="s">
        <v>33</v>
      </c>
      <c r="H28" s="132" t="s">
        <v>34</v>
      </c>
      <c r="I28" s="132" t="s">
        <v>35</v>
      </c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</row>
    <row r="29" spans="2:20" s="32" customFormat="1" ht="18" customHeight="1" outlineLevel="1">
      <c r="B29" s="134" t="s">
        <v>36</v>
      </c>
      <c r="C29" s="135">
        <v>1</v>
      </c>
      <c r="D29" s="135">
        <v>1</v>
      </c>
      <c r="E29" s="136">
        <v>1</v>
      </c>
      <c r="F29" s="137">
        <f>D29/E29</f>
        <v>1</v>
      </c>
      <c r="G29" s="137">
        <f>E29/(D29+E29)</f>
        <v>0.5</v>
      </c>
      <c r="H29" s="138">
        <v>0.01</v>
      </c>
      <c r="I29" s="139">
        <f>C29/(1+(F29)*(1-H29))</f>
        <v>0.50251256281407031</v>
      </c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</row>
    <row r="30" spans="2:20" s="32" customFormat="1" ht="18" customHeight="1" outlineLevel="1">
      <c r="B30" s="140" t="s">
        <v>37</v>
      </c>
      <c r="C30" s="135">
        <v>1</v>
      </c>
      <c r="D30" s="135">
        <v>1</v>
      </c>
      <c r="E30" s="136">
        <v>1</v>
      </c>
      <c r="F30" s="137">
        <f>D30/E30</f>
        <v>1</v>
      </c>
      <c r="G30" s="137">
        <f>E30/(D30+E30)</f>
        <v>0.5</v>
      </c>
      <c r="H30" s="138">
        <v>0.01</v>
      </c>
      <c r="I30" s="139">
        <f>C30/(1+(F30)*(1-H30))</f>
        <v>0.50251256281407031</v>
      </c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</row>
    <row r="31" spans="2:20" s="32" customFormat="1" ht="18" customHeight="1" outlineLevel="1">
      <c r="B31" s="140" t="s">
        <v>38</v>
      </c>
      <c r="C31" s="135">
        <v>1</v>
      </c>
      <c r="D31" s="135">
        <v>1</v>
      </c>
      <c r="E31" s="136">
        <v>1</v>
      </c>
      <c r="F31" s="137">
        <f>D31/E31</f>
        <v>1</v>
      </c>
      <c r="G31" s="137">
        <f>E31/(D31+E31)</f>
        <v>0.5</v>
      </c>
      <c r="H31" s="138">
        <v>0.01</v>
      </c>
      <c r="I31" s="139">
        <f>C31/(1+(F31)*(1-H31))</f>
        <v>0.50251256281407031</v>
      </c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</row>
    <row r="32" spans="2:20" s="32" customFormat="1" ht="18" customHeight="1" outlineLevel="1">
      <c r="B32" s="140" t="s">
        <v>39</v>
      </c>
      <c r="C32" s="135">
        <v>1</v>
      </c>
      <c r="D32" s="135">
        <v>1</v>
      </c>
      <c r="E32" s="136">
        <v>1</v>
      </c>
      <c r="F32" s="137">
        <f>D32/E32</f>
        <v>1</v>
      </c>
      <c r="G32" s="137">
        <f>E32/(D32+E32)</f>
        <v>0.5</v>
      </c>
      <c r="H32" s="138">
        <v>0.01</v>
      </c>
      <c r="I32" s="139">
        <f>C32/(1+(F32)*(1-H32))</f>
        <v>0.50251256281407031</v>
      </c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</row>
    <row r="33" spans="2:20" s="32" customFormat="1" ht="18" customHeight="1" outlineLevel="1">
      <c r="B33" s="141" t="s">
        <v>40</v>
      </c>
      <c r="C33" s="135">
        <v>1</v>
      </c>
      <c r="D33" s="135">
        <v>1</v>
      </c>
      <c r="E33" s="136">
        <v>1</v>
      </c>
      <c r="F33" s="137">
        <f>D33/E33</f>
        <v>1</v>
      </c>
      <c r="G33" s="137">
        <f>E33/(D33+E33)</f>
        <v>0.5</v>
      </c>
      <c r="H33" s="138">
        <v>0.01</v>
      </c>
      <c r="I33" s="139">
        <f>C33/(1+(F33)*(1-H33))</f>
        <v>0.50251256281407031</v>
      </c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</row>
    <row r="34" spans="2:20" s="32" customFormat="1" ht="18" customHeight="1" outlineLevel="1">
      <c r="B34" s="142" t="s">
        <v>41</v>
      </c>
      <c r="C34" s="143">
        <f>MEDIAN(C29:C33)</f>
        <v>1</v>
      </c>
      <c r="D34" s="143"/>
      <c r="E34" s="143"/>
      <c r="F34" s="144">
        <f>MEDIAN(F29:F33)</f>
        <v>1</v>
      </c>
      <c r="G34" s="144">
        <f>MEDIAN(G29:G33)</f>
        <v>0.5</v>
      </c>
      <c r="H34" s="145"/>
      <c r="I34" s="143">
        <f>MEDIAN(I29:I33)</f>
        <v>0.50251256281407031</v>
      </c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</row>
    <row r="35" spans="2:20" s="32" customFormat="1" ht="18" customHeight="1" outlineLevel="1">
      <c r="B35" s="146" t="s">
        <v>42</v>
      </c>
      <c r="C35" s="147">
        <f>AVERAGE(C29:C33)</f>
        <v>1</v>
      </c>
      <c r="D35" s="147"/>
      <c r="E35" s="147"/>
      <c r="F35" s="148">
        <f>AVERAGE(F29:F33)</f>
        <v>1</v>
      </c>
      <c r="G35" s="148">
        <f>AVERAGE(G29:G33)</f>
        <v>0.5</v>
      </c>
      <c r="H35" s="149"/>
      <c r="I35" s="147">
        <f>AVERAGE(I29:I33)</f>
        <v>0.50251256281407031</v>
      </c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</row>
    <row r="36" spans="2:20" s="32" customFormat="1" ht="18" customHeight="1" outlineLevel="1">
      <c r="B36" s="150" t="s">
        <v>43</v>
      </c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</row>
    <row r="37" spans="2:20" s="32" customFormat="1" ht="18" customHeight="1" outlineLevel="1">
      <c r="B37" s="150" t="s">
        <v>44</v>
      </c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</row>
    <row r="38" spans="2:20" s="32" customFormat="1" ht="18" customHeight="1" outlineLevel="1">
      <c r="B38" s="150" t="s">
        <v>45</v>
      </c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</row>
    <row r="39" spans="2:20" s="32" customFormat="1" ht="18" customHeight="1" outlineLevel="1">
      <c r="B39" s="150" t="s">
        <v>46</v>
      </c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</row>
    <row r="40" spans="2:20" s="32" customFormat="1" ht="45" customHeight="1" outlineLevel="1">
      <c r="B40" s="151" t="s">
        <v>47</v>
      </c>
      <c r="C40" s="152"/>
      <c r="D40" s="153" t="s">
        <v>48</v>
      </c>
      <c r="E40" s="153" t="s">
        <v>49</v>
      </c>
      <c r="F40" s="153" t="s">
        <v>50</v>
      </c>
      <c r="G40" s="154" t="s">
        <v>47</v>
      </c>
      <c r="H40" s="155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</row>
    <row r="41" spans="2:20" s="32" customFormat="1" ht="18" customHeight="1" outlineLevel="1">
      <c r="B41" s="156" t="s">
        <v>51</v>
      </c>
      <c r="C41" s="157"/>
      <c r="D41" s="158">
        <f>I35</f>
        <v>0.50251256281407031</v>
      </c>
      <c r="E41" s="159">
        <f>F35</f>
        <v>1</v>
      </c>
      <c r="F41" s="160">
        <f>'割引キャッシュ フロー - 空白'!C5</f>
        <v>0.01</v>
      </c>
      <c r="G41" s="161">
        <f>D41*(1+(E41)*(1-F41))</f>
        <v>0.99999999999999989</v>
      </c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</row>
    <row r="42" spans="2:20" ht="15" customHeight="1">
      <c r="B42" s="73"/>
      <c r="C42" s="162"/>
      <c r="D42" s="163"/>
      <c r="E42" s="163"/>
      <c r="F42" s="163"/>
      <c r="G42" s="73"/>
      <c r="H42" s="73"/>
      <c r="I42" s="73"/>
      <c r="J42" s="73"/>
      <c r="K42" s="73"/>
      <c r="L42" s="164"/>
      <c r="M42" s="164"/>
      <c r="N42" s="73"/>
      <c r="O42" s="73"/>
      <c r="P42" s="73"/>
      <c r="Q42" s="73"/>
      <c r="R42" s="73"/>
      <c r="S42" s="73"/>
      <c r="T42" s="73"/>
    </row>
    <row r="43" spans="2:20" s="22" customFormat="1" ht="25" customHeight="1" outlineLevel="1">
      <c r="B43" s="128" t="s">
        <v>52</v>
      </c>
      <c r="C43" s="65"/>
      <c r="D43" s="65"/>
      <c r="E43" s="65"/>
      <c r="F43" s="65"/>
      <c r="G43" s="65"/>
      <c r="H43" s="65"/>
      <c r="I43" s="65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</row>
    <row r="44" spans="2:20" s="22" customFormat="1" ht="18" customHeight="1" outlineLevel="1">
      <c r="B44" s="130" t="s">
        <v>53</v>
      </c>
      <c r="C44" s="65"/>
      <c r="D44" s="65"/>
      <c r="E44" s="65"/>
      <c r="F44" s="65"/>
      <c r="G44" s="65"/>
      <c r="H44" s="65"/>
      <c r="I44" s="65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</row>
    <row r="45" spans="2:20" s="26" customFormat="1" ht="18" customHeight="1" outlineLevel="1">
      <c r="B45" s="165" t="s">
        <v>54</v>
      </c>
      <c r="C45" s="166"/>
      <c r="D45" s="167" t="s">
        <v>55</v>
      </c>
      <c r="E45" s="168"/>
      <c r="F45" s="169"/>
      <c r="G45" s="102"/>
      <c r="H45" s="170"/>
      <c r="I45" s="171"/>
      <c r="J45" s="75"/>
      <c r="K45" s="66"/>
      <c r="L45" s="66"/>
      <c r="M45" s="66"/>
      <c r="N45" s="66"/>
      <c r="O45" s="66"/>
      <c r="P45" s="66"/>
      <c r="Q45" s="66"/>
      <c r="R45" s="66"/>
      <c r="S45" s="66"/>
      <c r="T45" s="66"/>
    </row>
    <row r="46" spans="2:20" s="26" customFormat="1" ht="18" customHeight="1" outlineLevel="1">
      <c r="B46" s="172" t="s">
        <v>56</v>
      </c>
      <c r="C46" s="173">
        <f>1-C47</f>
        <v>0.5</v>
      </c>
      <c r="D46" s="174"/>
      <c r="E46" s="175"/>
      <c r="F46" s="176"/>
      <c r="G46" s="176"/>
      <c r="H46" s="176"/>
      <c r="I46" s="176"/>
      <c r="J46" s="75"/>
      <c r="K46" s="66"/>
      <c r="L46" s="66"/>
      <c r="M46" s="66"/>
      <c r="N46" s="66"/>
      <c r="O46" s="66"/>
      <c r="P46" s="66"/>
      <c r="Q46" s="66"/>
      <c r="R46" s="66"/>
      <c r="S46" s="66"/>
      <c r="T46" s="66"/>
    </row>
    <row r="47" spans="2:20" s="26" customFormat="1" ht="18" customHeight="1" outlineLevel="1">
      <c r="B47" s="172" t="s">
        <v>57</v>
      </c>
      <c r="C47" s="173">
        <f>'割引キャッシュ フロー - 空白'!G35</f>
        <v>0.5</v>
      </c>
      <c r="D47" s="174"/>
      <c r="E47" s="175"/>
      <c r="F47" s="176"/>
      <c r="G47" s="176"/>
      <c r="H47" s="176"/>
      <c r="I47" s="176"/>
      <c r="J47" s="75"/>
      <c r="K47" s="66"/>
      <c r="L47" s="66"/>
      <c r="M47" s="66"/>
      <c r="N47" s="66"/>
      <c r="O47" s="66"/>
      <c r="P47" s="66"/>
      <c r="Q47" s="66"/>
      <c r="R47" s="66"/>
      <c r="S47" s="66"/>
      <c r="T47" s="66"/>
    </row>
    <row r="48" spans="2:20" s="26" customFormat="1" ht="18" customHeight="1" outlineLevel="1">
      <c r="B48" s="172" t="s">
        <v>58</v>
      </c>
      <c r="C48" s="173">
        <f>'割引キャッシュ フロー - 空白'!F35</f>
        <v>1</v>
      </c>
      <c r="D48" s="174"/>
      <c r="E48" s="175"/>
      <c r="F48" s="176"/>
      <c r="G48" s="176"/>
      <c r="H48" s="176"/>
      <c r="I48" s="176"/>
      <c r="J48" s="75"/>
      <c r="K48" s="66"/>
      <c r="L48" s="66"/>
      <c r="M48" s="66"/>
      <c r="N48" s="66"/>
      <c r="O48" s="66"/>
      <c r="P48" s="66"/>
      <c r="Q48" s="66"/>
      <c r="R48" s="66"/>
      <c r="S48" s="66"/>
      <c r="T48" s="66"/>
    </row>
    <row r="49" spans="2:20" s="26" customFormat="1" ht="18" customHeight="1" outlineLevel="1">
      <c r="B49" s="165" t="s">
        <v>59</v>
      </c>
      <c r="C49" s="177"/>
      <c r="D49" s="174"/>
      <c r="E49" s="175"/>
      <c r="F49" s="176"/>
      <c r="G49" s="176"/>
      <c r="H49" s="176"/>
      <c r="I49" s="176"/>
      <c r="J49" s="75"/>
      <c r="K49" s="66"/>
      <c r="L49" s="66"/>
      <c r="M49" s="66"/>
      <c r="N49" s="66"/>
      <c r="O49" s="66"/>
      <c r="P49" s="66"/>
      <c r="Q49" s="66"/>
      <c r="R49" s="66"/>
      <c r="S49" s="66"/>
      <c r="T49" s="66"/>
    </row>
    <row r="50" spans="2:20" s="26" customFormat="1" ht="18" customHeight="1" outlineLevel="1">
      <c r="B50" s="172" t="s">
        <v>60</v>
      </c>
      <c r="C50" s="178">
        <v>0.01</v>
      </c>
      <c r="D50" s="174"/>
      <c r="E50" s="175"/>
      <c r="F50" s="176"/>
      <c r="G50" s="176"/>
      <c r="H50" s="176"/>
      <c r="I50" s="176"/>
      <c r="J50" s="75"/>
      <c r="K50" s="66"/>
      <c r="L50" s="66"/>
      <c r="M50" s="66"/>
      <c r="N50" s="66"/>
      <c r="O50" s="66"/>
      <c r="P50" s="66"/>
      <c r="Q50" s="66"/>
      <c r="R50" s="66"/>
      <c r="S50" s="66"/>
      <c r="T50" s="66"/>
    </row>
    <row r="51" spans="2:20" s="26" customFormat="1" ht="18" customHeight="1" outlineLevel="1">
      <c r="B51" s="172" t="s">
        <v>61</v>
      </c>
      <c r="C51" s="178">
        <v>0.01</v>
      </c>
      <c r="D51" s="174"/>
      <c r="E51" s="175"/>
      <c r="F51" s="176"/>
      <c r="G51" s="176"/>
      <c r="H51" s="176"/>
      <c r="I51" s="176"/>
      <c r="J51" s="75"/>
      <c r="K51" s="66"/>
      <c r="L51" s="66"/>
      <c r="M51" s="66"/>
      <c r="N51" s="66"/>
      <c r="O51" s="66"/>
      <c r="P51" s="66"/>
      <c r="Q51" s="66"/>
      <c r="R51" s="66"/>
      <c r="S51" s="66"/>
      <c r="T51" s="66"/>
    </row>
    <row r="52" spans="2:20" s="26" customFormat="1" ht="18" customHeight="1" outlineLevel="1">
      <c r="B52" s="172" t="s">
        <v>62</v>
      </c>
      <c r="C52" s="179">
        <f>'割引キャッシュ フロー - 空白'!G41</f>
        <v>0.99999999999999989</v>
      </c>
      <c r="D52" s="174"/>
      <c r="E52" s="175"/>
      <c r="F52" s="176"/>
      <c r="G52" s="176"/>
      <c r="H52" s="176"/>
      <c r="I52" s="176"/>
      <c r="J52" s="75"/>
      <c r="K52" s="66"/>
      <c r="L52" s="66"/>
      <c r="M52" s="66"/>
      <c r="N52" s="66"/>
      <c r="O52" s="66"/>
      <c r="P52" s="66"/>
      <c r="Q52" s="66"/>
      <c r="R52" s="66"/>
      <c r="S52" s="66"/>
      <c r="T52" s="66"/>
    </row>
    <row r="53" spans="2:20" s="26" customFormat="1" ht="18" customHeight="1" outlineLevel="1">
      <c r="B53" s="180" t="s">
        <v>63</v>
      </c>
      <c r="C53" s="181">
        <v>0.01</v>
      </c>
      <c r="D53" s="174"/>
      <c r="E53" s="175"/>
      <c r="F53" s="176"/>
      <c r="G53" s="176"/>
      <c r="H53" s="176"/>
      <c r="I53" s="176"/>
      <c r="J53" s="75"/>
      <c r="K53" s="66"/>
      <c r="L53" s="66"/>
      <c r="M53" s="66"/>
      <c r="N53" s="66"/>
      <c r="O53" s="66"/>
      <c r="P53" s="66"/>
      <c r="Q53" s="66"/>
      <c r="R53" s="66"/>
      <c r="S53" s="66"/>
      <c r="T53" s="66"/>
    </row>
    <row r="54" spans="2:20" s="26" customFormat="1" ht="18" customHeight="1" outlineLevel="1">
      <c r="B54" s="182" t="s">
        <v>59</v>
      </c>
      <c r="C54" s="183">
        <f>C50+(C52*C51)+C53</f>
        <v>0.03</v>
      </c>
      <c r="D54" s="174"/>
      <c r="E54" s="175"/>
      <c r="F54" s="176"/>
      <c r="G54" s="176"/>
      <c r="H54" s="176"/>
      <c r="I54" s="176"/>
      <c r="J54" s="75"/>
      <c r="K54" s="66"/>
      <c r="L54" s="66"/>
      <c r="M54" s="66"/>
      <c r="N54" s="66"/>
      <c r="O54" s="66"/>
      <c r="P54" s="66"/>
      <c r="Q54" s="66"/>
      <c r="R54" s="66"/>
      <c r="S54" s="66"/>
      <c r="T54" s="66"/>
    </row>
    <row r="55" spans="2:20" s="26" customFormat="1" ht="18" customHeight="1" outlineLevel="1">
      <c r="B55" s="184" t="s">
        <v>64</v>
      </c>
      <c r="C55" s="185"/>
      <c r="D55" s="174"/>
      <c r="E55" s="175"/>
      <c r="F55" s="176"/>
      <c r="G55" s="176"/>
      <c r="H55" s="176"/>
      <c r="I55" s="176"/>
      <c r="J55" s="75"/>
      <c r="K55" s="66"/>
      <c r="L55" s="66"/>
      <c r="M55" s="66"/>
      <c r="N55" s="66"/>
      <c r="O55" s="66"/>
      <c r="P55" s="66"/>
      <c r="Q55" s="66"/>
      <c r="R55" s="66"/>
      <c r="S55" s="66"/>
      <c r="T55" s="66"/>
    </row>
    <row r="56" spans="2:20" s="26" customFormat="1" ht="18" customHeight="1" outlineLevel="1">
      <c r="B56" s="186" t="s">
        <v>65</v>
      </c>
      <c r="C56" s="178">
        <v>0.01</v>
      </c>
      <c r="D56" s="174"/>
      <c r="E56" s="175"/>
      <c r="F56" s="176"/>
      <c r="G56" s="176"/>
      <c r="H56" s="176"/>
      <c r="I56" s="176"/>
      <c r="J56" s="75"/>
      <c r="K56" s="66"/>
      <c r="L56" s="66"/>
      <c r="M56" s="66"/>
      <c r="N56" s="66"/>
      <c r="O56" s="66"/>
      <c r="P56" s="66"/>
      <c r="Q56" s="66"/>
      <c r="R56" s="66"/>
      <c r="S56" s="66"/>
      <c r="T56" s="66"/>
    </row>
    <row r="57" spans="2:20" s="26" customFormat="1" ht="18" customHeight="1" outlineLevel="1">
      <c r="B57" s="187" t="s">
        <v>66</v>
      </c>
      <c r="C57" s="188">
        <f>'割引キャッシュ フロー - 空白'!C5</f>
        <v>0.01</v>
      </c>
      <c r="D57" s="174"/>
      <c r="E57" s="175"/>
      <c r="F57" s="176"/>
      <c r="G57" s="176"/>
      <c r="H57" s="176"/>
      <c r="I57" s="176"/>
      <c r="J57" s="75"/>
      <c r="K57" s="66"/>
      <c r="L57" s="66"/>
      <c r="M57" s="66"/>
      <c r="N57" s="66"/>
      <c r="O57" s="66"/>
      <c r="P57" s="66"/>
      <c r="Q57" s="66"/>
      <c r="R57" s="66"/>
      <c r="S57" s="66"/>
      <c r="T57" s="66"/>
    </row>
    <row r="58" spans="2:20" s="26" customFormat="1" ht="18" customHeight="1" outlineLevel="1">
      <c r="B58" s="182" t="s">
        <v>67</v>
      </c>
      <c r="C58" s="189">
        <f>C56*(1-C57)</f>
        <v>9.9000000000000008E-3</v>
      </c>
      <c r="D58" s="190"/>
      <c r="E58" s="191"/>
      <c r="F58" s="192"/>
      <c r="G58" s="192"/>
      <c r="H58" s="192"/>
      <c r="I58" s="192"/>
      <c r="J58" s="75"/>
      <c r="K58" s="66"/>
      <c r="L58" s="66"/>
      <c r="M58" s="66"/>
      <c r="N58" s="66"/>
      <c r="O58" s="66"/>
      <c r="P58" s="66"/>
      <c r="Q58" s="66"/>
      <c r="R58" s="66"/>
      <c r="S58" s="66"/>
      <c r="T58" s="66"/>
    </row>
    <row r="59" spans="2:20" s="26" customFormat="1" ht="18" customHeight="1" outlineLevel="1" thickBot="1">
      <c r="B59" s="193" t="s">
        <v>2</v>
      </c>
      <c r="C59" s="194">
        <f>(C58*C46)+(C54*C47)</f>
        <v>1.9949999999999999E-2</v>
      </c>
      <c r="D59" s="195"/>
      <c r="E59" s="196"/>
      <c r="F59" s="197"/>
      <c r="G59" s="198"/>
      <c r="H59" s="198"/>
      <c r="I59" s="198"/>
      <c r="J59" s="75"/>
      <c r="K59" s="66"/>
      <c r="L59" s="66"/>
      <c r="M59" s="66"/>
      <c r="N59" s="66"/>
      <c r="O59" s="66"/>
      <c r="P59" s="66"/>
      <c r="Q59" s="66"/>
      <c r="R59" s="66"/>
      <c r="S59" s="66"/>
      <c r="T59" s="66"/>
    </row>
    <row r="60" spans="2:20" s="34" customFormat="1" ht="12" customHeight="1" outlineLevel="1" thickTop="1">
      <c r="B60" s="199"/>
      <c r="C60" s="75"/>
      <c r="D60" s="75"/>
      <c r="E60" s="75"/>
      <c r="F60" s="75"/>
      <c r="G60" s="200"/>
      <c r="H60" s="200"/>
      <c r="I60" s="200"/>
      <c r="J60" s="200"/>
      <c r="K60" s="200"/>
      <c r="L60" s="75"/>
      <c r="M60" s="75"/>
      <c r="N60" s="73"/>
      <c r="O60" s="73"/>
      <c r="P60" s="73"/>
      <c r="Q60" s="73"/>
      <c r="R60" s="73"/>
      <c r="S60" s="73"/>
      <c r="T60" s="73"/>
    </row>
    <row r="61" spans="2:20" s="22" customFormat="1" ht="25" customHeight="1" outlineLevel="1">
      <c r="B61" s="201" t="s">
        <v>68</v>
      </c>
      <c r="C61" s="65"/>
      <c r="D61" s="65"/>
      <c r="E61" s="65"/>
      <c r="F61" s="65"/>
      <c r="G61" s="65"/>
      <c r="H61" s="65"/>
      <c r="I61" s="65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</row>
    <row r="62" spans="2:20" s="34" customFormat="1" ht="12" customHeight="1" outlineLevel="1">
      <c r="B62" s="199"/>
      <c r="C62" s="75"/>
      <c r="D62" s="75"/>
      <c r="E62" s="75"/>
      <c r="F62" s="75"/>
      <c r="G62" s="200"/>
      <c r="H62" s="200"/>
      <c r="I62" s="200"/>
      <c r="J62" s="200"/>
      <c r="K62" s="200"/>
      <c r="L62" s="75"/>
      <c r="M62" s="75"/>
      <c r="N62" s="73"/>
      <c r="O62" s="73"/>
      <c r="P62" s="73"/>
      <c r="Q62" s="73"/>
      <c r="R62" s="73"/>
      <c r="S62" s="73"/>
      <c r="T62" s="73"/>
    </row>
    <row r="63" spans="2:20" s="34" customFormat="1" ht="18" customHeight="1">
      <c r="B63" s="116" t="s">
        <v>1</v>
      </c>
      <c r="C63" s="117">
        <f t="shared" ref="C63:K63" si="13">C20+C22</f>
        <v>4</v>
      </c>
      <c r="D63" s="117">
        <f t="shared" si="13"/>
        <v>4</v>
      </c>
      <c r="E63" s="117">
        <f t="shared" si="13"/>
        <v>4</v>
      </c>
      <c r="F63" s="118">
        <f t="shared" si="13"/>
        <v>4</v>
      </c>
      <c r="G63" s="119">
        <f t="shared" si="13"/>
        <v>1146.75710875</v>
      </c>
      <c r="H63" s="119">
        <f t="shared" si="13"/>
        <v>1146.7966287500001</v>
      </c>
      <c r="I63" s="119">
        <f t="shared" si="13"/>
        <v>1135.3784283345001</v>
      </c>
      <c r="J63" s="119">
        <f t="shared" si="13"/>
        <v>1112.7315882188464</v>
      </c>
      <c r="K63" s="120">
        <f t="shared" si="13"/>
        <v>1079.4220364912878</v>
      </c>
      <c r="L63" s="121">
        <f>(F63/C63)^(1/3)-1</f>
        <v>0</v>
      </c>
      <c r="M63" s="121">
        <f>(K63/G63)^(1/4)-1</f>
        <v>-1.5014222258627363E-2</v>
      </c>
      <c r="N63" s="73"/>
      <c r="O63" s="73"/>
      <c r="P63" s="73"/>
      <c r="Q63" s="73"/>
      <c r="R63" s="73"/>
      <c r="S63" s="73"/>
      <c r="T63" s="73"/>
    </row>
    <row r="64" spans="2:20" s="34" customFormat="1" ht="18" customHeight="1">
      <c r="B64" s="88" t="s">
        <v>97</v>
      </c>
      <c r="C64" s="89">
        <v>1</v>
      </c>
      <c r="D64" s="89">
        <v>1</v>
      </c>
      <c r="E64" s="89">
        <v>1</v>
      </c>
      <c r="F64" s="90">
        <v>1</v>
      </c>
      <c r="G64" s="91">
        <f>'割引キャッシュ フロー - 空白'!$C$57*-G63</f>
        <v>-11.467571087500001</v>
      </c>
      <c r="H64" s="91">
        <f>'割引キャッシュ フロー - 空白'!$C$57*-H63</f>
        <v>-11.467966287500001</v>
      </c>
      <c r="I64" s="91">
        <f>'割引キャッシュ フロー - 空白'!$C$57*-I63</f>
        <v>-11.353784283345002</v>
      </c>
      <c r="J64" s="91">
        <f>'割引キャッシュ フロー - 空白'!$C$57*-J63</f>
        <v>-11.127315882188464</v>
      </c>
      <c r="K64" s="92">
        <f>'割引キャッシュ フロー - 空白'!$C$57*-K63</f>
        <v>-10.794220364912878</v>
      </c>
      <c r="L64" s="104">
        <f>IFERROR((F64/C64)^(1/3)-1,"N/A")</f>
        <v>0</v>
      </c>
      <c r="M64" s="104">
        <f>IFERROR((K64/G64)^(1/4)-1,"N/A")</f>
        <v>-1.5014222258627363E-2</v>
      </c>
      <c r="N64" s="73"/>
      <c r="O64" s="73"/>
      <c r="P64" s="73"/>
      <c r="Q64" s="73"/>
      <c r="R64" s="73"/>
      <c r="S64" s="73"/>
      <c r="T64" s="73"/>
    </row>
    <row r="65" spans="2:20" s="34" customFormat="1" ht="18" customHeight="1">
      <c r="B65" s="88" t="s">
        <v>3</v>
      </c>
      <c r="C65" s="89"/>
      <c r="D65" s="89">
        <v>1</v>
      </c>
      <c r="E65" s="89">
        <v>1</v>
      </c>
      <c r="F65" s="90">
        <v>1</v>
      </c>
      <c r="G65" s="91">
        <f>-(G66*G10)</f>
        <v>1.01</v>
      </c>
      <c r="H65" s="91">
        <f>-(H66*H10)</f>
        <v>1.01</v>
      </c>
      <c r="I65" s="91">
        <f>-(I66*I10)</f>
        <v>0.99990000000000001</v>
      </c>
      <c r="J65" s="91">
        <f>-(J66*J10)</f>
        <v>0.97990199999999994</v>
      </c>
      <c r="K65" s="92">
        <f>-(K66*K10)</f>
        <v>0.95050493999999996</v>
      </c>
      <c r="L65" s="202" t="str">
        <f>IFERROR((F65/C65)^(1/3)-1,"なし")</f>
        <v>なし</v>
      </c>
      <c r="M65" s="202">
        <f>IFERROR((K65/G65)^(1/4)-1,"n.a.")</f>
        <v>-1.5063456436968159E-2</v>
      </c>
      <c r="N65" s="73"/>
      <c r="O65" s="73"/>
      <c r="P65" s="263"/>
      <c r="Q65" s="263"/>
      <c r="R65" s="263"/>
      <c r="S65" s="263"/>
      <c r="T65" s="263"/>
    </row>
    <row r="66" spans="2:20" s="34" customFormat="1" ht="18" customHeight="1">
      <c r="B66" s="94" t="s">
        <v>22</v>
      </c>
      <c r="C66" s="202"/>
      <c r="D66" s="93">
        <f>-D65/D10</f>
        <v>-1</v>
      </c>
      <c r="E66" s="93">
        <f>-E65/E10</f>
        <v>-1</v>
      </c>
      <c r="F66" s="95">
        <f>-F65/F10</f>
        <v>-1</v>
      </c>
      <c r="G66" s="112">
        <f>AVERAGE(D66:F66)</f>
        <v>-1</v>
      </c>
      <c r="H66" s="112">
        <f>G66</f>
        <v>-1</v>
      </c>
      <c r="I66" s="112">
        <f t="shared" ref="I66:K66" si="14">H66</f>
        <v>-1</v>
      </c>
      <c r="J66" s="112">
        <f t="shared" si="14"/>
        <v>-1</v>
      </c>
      <c r="K66" s="113">
        <f t="shared" si="14"/>
        <v>-1</v>
      </c>
      <c r="L66" s="93"/>
      <c r="M66" s="93"/>
      <c r="N66" s="247"/>
      <c r="O66" s="247"/>
      <c r="P66" s="248"/>
      <c r="Q66" s="248"/>
      <c r="R66" s="248"/>
      <c r="S66" s="248"/>
      <c r="T66" s="248"/>
    </row>
    <row r="67" spans="2:20" s="34" customFormat="1" ht="18" customHeight="1">
      <c r="B67" s="88" t="s">
        <v>70</v>
      </c>
      <c r="C67" s="89">
        <v>1</v>
      </c>
      <c r="D67" s="89">
        <v>1</v>
      </c>
      <c r="E67" s="89">
        <v>1</v>
      </c>
      <c r="F67" s="90">
        <v>1</v>
      </c>
      <c r="G67" s="91">
        <f>G68*G10</f>
        <v>1.01</v>
      </c>
      <c r="H67" s="91">
        <f>H68*H10</f>
        <v>1.01</v>
      </c>
      <c r="I67" s="91">
        <f>I68*I10</f>
        <v>0.99990000000000001</v>
      </c>
      <c r="J67" s="91">
        <f>J68*J10</f>
        <v>0.97990199999999994</v>
      </c>
      <c r="K67" s="92">
        <f>K68*K10</f>
        <v>0.95050493999999996</v>
      </c>
      <c r="L67" s="202"/>
      <c r="M67" s="202"/>
      <c r="N67" s="73"/>
      <c r="O67" s="73"/>
      <c r="P67" s="73"/>
      <c r="Q67" s="73"/>
      <c r="R67" s="73"/>
      <c r="S67" s="73"/>
      <c r="T67" s="73"/>
    </row>
    <row r="68" spans="2:20" s="34" customFormat="1" ht="18" customHeight="1">
      <c r="B68" s="94" t="s">
        <v>22</v>
      </c>
      <c r="C68" s="93">
        <f>C67/C10</f>
        <v>1</v>
      </c>
      <c r="D68" s="93">
        <f>D67/D10</f>
        <v>1</v>
      </c>
      <c r="E68" s="93">
        <f>E67/E10</f>
        <v>1</v>
      </c>
      <c r="F68" s="95">
        <f>F67/F10</f>
        <v>1</v>
      </c>
      <c r="G68" s="112">
        <f>F68</f>
        <v>1</v>
      </c>
      <c r="H68" s="112">
        <f>G68</f>
        <v>1</v>
      </c>
      <c r="I68" s="112">
        <f t="shared" ref="I68:K68" si="15">H68</f>
        <v>1</v>
      </c>
      <c r="J68" s="112">
        <f t="shared" si="15"/>
        <v>1</v>
      </c>
      <c r="K68" s="113">
        <f t="shared" si="15"/>
        <v>1</v>
      </c>
      <c r="L68" s="202"/>
      <c r="M68" s="202"/>
      <c r="N68" s="73"/>
      <c r="O68" s="73"/>
      <c r="P68" s="73"/>
      <c r="Q68" s="73"/>
      <c r="R68" s="73"/>
      <c r="S68" s="73"/>
      <c r="T68" s="73"/>
    </row>
    <row r="69" spans="2:20" s="34" customFormat="1" ht="18" customHeight="1">
      <c r="B69" s="88" t="s">
        <v>71</v>
      </c>
      <c r="C69" s="203"/>
      <c r="D69" s="202">
        <f t="shared" ref="D69:K69" si="16">C67-D67</f>
        <v>0</v>
      </c>
      <c r="E69" s="202">
        <f t="shared" si="16"/>
        <v>0</v>
      </c>
      <c r="F69" s="204">
        <f t="shared" si="16"/>
        <v>0</v>
      </c>
      <c r="G69" s="91">
        <f t="shared" si="16"/>
        <v>-1.0000000000000009E-2</v>
      </c>
      <c r="H69" s="91">
        <f t="shared" si="16"/>
        <v>0</v>
      </c>
      <c r="I69" s="91">
        <f t="shared" si="16"/>
        <v>1.0099999999999998E-2</v>
      </c>
      <c r="J69" s="91">
        <f t="shared" si="16"/>
        <v>1.9998000000000071E-2</v>
      </c>
      <c r="K69" s="92">
        <f t="shared" si="16"/>
        <v>2.9397059999999975E-2</v>
      </c>
      <c r="L69" s="205"/>
      <c r="M69" s="205"/>
      <c r="N69" s="249"/>
      <c r="O69" s="248"/>
      <c r="P69" s="250"/>
      <c r="Q69" s="250"/>
      <c r="R69" s="250"/>
      <c r="S69" s="250"/>
      <c r="T69" s="250"/>
    </row>
    <row r="70" spans="2:20" s="34" customFormat="1" ht="18" customHeight="1">
      <c r="B70" s="116" t="s">
        <v>72</v>
      </c>
      <c r="C70" s="117"/>
      <c r="D70" s="117">
        <f t="shared" ref="D70:K70" si="17">D20+D64+D65+D69</f>
        <v>5</v>
      </c>
      <c r="E70" s="117">
        <f t="shared" si="17"/>
        <v>5</v>
      </c>
      <c r="F70" s="118">
        <f t="shared" si="17"/>
        <v>5</v>
      </c>
      <c r="G70" s="119">
        <f t="shared" si="17"/>
        <v>1135.2795376625002</v>
      </c>
      <c r="H70" s="119">
        <f t="shared" si="17"/>
        <v>1135.3286624625</v>
      </c>
      <c r="I70" s="119">
        <f t="shared" si="17"/>
        <v>1124.034744051155</v>
      </c>
      <c r="J70" s="119">
        <f t="shared" si="17"/>
        <v>1101.6242703366579</v>
      </c>
      <c r="K70" s="120">
        <f t="shared" si="17"/>
        <v>1068.657213186375</v>
      </c>
      <c r="L70" s="117"/>
      <c r="M70" s="117"/>
      <c r="N70" s="249"/>
      <c r="O70" s="248"/>
      <c r="P70" s="250"/>
      <c r="Q70" s="250"/>
      <c r="R70" s="250"/>
      <c r="S70" s="250"/>
      <c r="T70" s="250"/>
    </row>
    <row r="71" spans="2:20" s="34" customFormat="1" ht="18" customHeight="1">
      <c r="B71" s="88" t="s">
        <v>2</v>
      </c>
      <c r="C71" s="206"/>
      <c r="D71" s="202"/>
      <c r="E71" s="202"/>
      <c r="F71" s="204"/>
      <c r="G71" s="207">
        <f>WACC</f>
        <v>1.9949999999999999E-2</v>
      </c>
      <c r="H71" s="207">
        <f>WACC</f>
        <v>1.9949999999999999E-2</v>
      </c>
      <c r="I71" s="207">
        <f>WACC</f>
        <v>1.9949999999999999E-2</v>
      </c>
      <c r="J71" s="207">
        <f>WACC</f>
        <v>1.9949999999999999E-2</v>
      </c>
      <c r="K71" s="177">
        <f>WACC</f>
        <v>1.9949999999999999E-2</v>
      </c>
      <c r="L71" s="202"/>
      <c r="M71" s="202"/>
      <c r="N71" s="73"/>
      <c r="O71" s="73"/>
      <c r="P71" s="73"/>
      <c r="Q71" s="73"/>
      <c r="R71" s="73"/>
      <c r="S71" s="73"/>
      <c r="T71" s="73"/>
    </row>
    <row r="72" spans="2:20" s="34" customFormat="1" ht="18" customHeight="1">
      <c r="B72" s="88" t="s">
        <v>73</v>
      </c>
      <c r="C72" s="202"/>
      <c r="D72" s="202"/>
      <c r="E72" s="202"/>
      <c r="F72" s="204"/>
      <c r="G72" s="208">
        <v>1</v>
      </c>
      <c r="H72" s="209">
        <f>G72+1</f>
        <v>2</v>
      </c>
      <c r="I72" s="209">
        <f>H72+1</f>
        <v>3</v>
      </c>
      <c r="J72" s="209">
        <f>I72+1</f>
        <v>4</v>
      </c>
      <c r="K72" s="210">
        <f>J72+1</f>
        <v>5</v>
      </c>
      <c r="L72" s="202"/>
      <c r="M72" s="202"/>
      <c r="N72" s="73"/>
      <c r="O72" s="73"/>
      <c r="P72" s="73"/>
      <c r="Q72" s="73"/>
      <c r="R72" s="73"/>
      <c r="S72" s="73"/>
      <c r="T72" s="73"/>
    </row>
    <row r="73" spans="2:20" s="34" customFormat="1" ht="18" customHeight="1">
      <c r="B73" s="88" t="s">
        <v>74</v>
      </c>
      <c r="C73" s="202"/>
      <c r="D73" s="202"/>
      <c r="E73" s="202"/>
      <c r="F73" s="204"/>
      <c r="G73" s="211">
        <f>1/((1+G71)^G72)</f>
        <v>0.98044021765772837</v>
      </c>
      <c r="H73" s="211">
        <f>1/((1+H71)^H72)</f>
        <v>0.96126302040073375</v>
      </c>
      <c r="I73" s="211">
        <f>1/((1+I71)^I72)</f>
        <v>0.94246092494802092</v>
      </c>
      <c r="J73" s="211">
        <f>1/((1+J71)^J72)</f>
        <v>0.9240265943899415</v>
      </c>
      <c r="K73" s="179">
        <f>1/((1+K71)^K72)</f>
        <v>0.90595283532520365</v>
      </c>
      <c r="L73" s="202"/>
      <c r="M73" s="202"/>
      <c r="N73" s="73"/>
      <c r="O73" s="73"/>
      <c r="P73" s="73"/>
      <c r="Q73" s="73"/>
      <c r="R73" s="73"/>
      <c r="S73" s="73"/>
      <c r="T73" s="73"/>
    </row>
    <row r="74" spans="2:20" s="34" customFormat="1" ht="18" customHeight="1" thickBot="1">
      <c r="B74" s="212" t="s">
        <v>75</v>
      </c>
      <c r="C74" s="213"/>
      <c r="D74" s="213"/>
      <c r="E74" s="213"/>
      <c r="F74" s="214"/>
      <c r="G74" s="215">
        <f>G73*G70</f>
        <v>1113.0737170081868</v>
      </c>
      <c r="H74" s="215">
        <f>H73*H70</f>
        <v>1091.349459226228</v>
      </c>
      <c r="I74" s="215">
        <f>I73*I70</f>
        <v>1059.3588245521635</v>
      </c>
      <c r="J74" s="215">
        <f>J73*J70</f>
        <v>1017.9301228164862</v>
      </c>
      <c r="K74" s="216">
        <f>K73*K70</f>
        <v>968.15303227692698</v>
      </c>
      <c r="L74" s="213"/>
      <c r="M74" s="213"/>
      <c r="N74" s="249"/>
      <c r="O74" s="248"/>
      <c r="P74" s="250"/>
      <c r="Q74" s="250"/>
      <c r="R74" s="250"/>
      <c r="S74" s="250"/>
      <c r="T74" s="250"/>
    </row>
    <row r="75" spans="2:20" s="34" customFormat="1" ht="18" customHeight="1" thickTop="1">
      <c r="B75" s="199"/>
      <c r="C75" s="75"/>
      <c r="D75" s="75"/>
      <c r="E75" s="75"/>
      <c r="F75" s="75"/>
      <c r="G75" s="200"/>
      <c r="H75" s="200"/>
      <c r="I75" s="200"/>
      <c r="J75" s="200"/>
      <c r="K75" s="200"/>
      <c r="L75" s="75"/>
      <c r="M75" s="75"/>
      <c r="N75" s="73"/>
      <c r="O75" s="73"/>
      <c r="P75" s="73"/>
      <c r="Q75" s="73"/>
      <c r="R75" s="73"/>
      <c r="S75" s="73"/>
      <c r="T75" s="73"/>
    </row>
    <row r="76" spans="2:20" s="34" customFormat="1" ht="18" customHeight="1">
      <c r="B76" s="217" t="s">
        <v>76</v>
      </c>
      <c r="C76" s="217"/>
      <c r="D76" s="75"/>
      <c r="E76" s="65" t="s">
        <v>77</v>
      </c>
      <c r="F76" s="67"/>
      <c r="G76" s="218">
        <f>F9</f>
        <v>2022</v>
      </c>
      <c r="H76" s="219">
        <f>G9</f>
        <v>2023</v>
      </c>
      <c r="I76" s="219">
        <f>H9</f>
        <v>2024</v>
      </c>
      <c r="J76" s="219">
        <f>I9</f>
        <v>2025</v>
      </c>
      <c r="K76" s="219">
        <f>J9</f>
        <v>2026</v>
      </c>
      <c r="L76" s="75"/>
      <c r="M76" s="75"/>
      <c r="N76" s="73"/>
      <c r="O76" s="73"/>
      <c r="P76" s="73"/>
      <c r="Q76" s="73"/>
      <c r="R76" s="73"/>
      <c r="S76" s="73"/>
      <c r="T76" s="73"/>
    </row>
    <row r="77" spans="2:20" s="34" customFormat="1" ht="18" customHeight="1">
      <c r="B77" s="168" t="s">
        <v>78</v>
      </c>
      <c r="C77" s="220">
        <f>SUM('割引キャッシュ フロー - 空白'!G74:K74)+'割引キャッシュ フロー - 空白'!C93</f>
        <v>102558.83207772869</v>
      </c>
      <c r="D77" s="75"/>
      <c r="E77" s="221" t="s">
        <v>79</v>
      </c>
      <c r="F77" s="221"/>
      <c r="G77" s="222">
        <f>EV/F10</f>
        <v>102558.83207772869</v>
      </c>
      <c r="H77" s="222">
        <f>EV/G10</f>
        <v>101543.39809676107</v>
      </c>
      <c r="I77" s="222">
        <f>EV/H10</f>
        <v>101543.39809676107</v>
      </c>
      <c r="J77" s="222">
        <f>EV/I10</f>
        <v>102569.08898662735</v>
      </c>
      <c r="K77" s="222">
        <f>EV/J10</f>
        <v>104662.33570064016</v>
      </c>
      <c r="L77" s="75"/>
      <c r="M77" s="75"/>
      <c r="N77" s="73"/>
      <c r="O77" s="73"/>
      <c r="P77" s="73"/>
      <c r="Q77" s="73"/>
      <c r="R77" s="73"/>
      <c r="S77" s="73"/>
      <c r="T77" s="73"/>
    </row>
    <row r="78" spans="2:20" s="34" customFormat="1" ht="18" customHeight="1" outlineLevel="1">
      <c r="B78" s="223" t="s">
        <v>80</v>
      </c>
      <c r="C78" s="224">
        <v>1</v>
      </c>
      <c r="D78" s="75"/>
      <c r="E78" s="225" t="s">
        <v>81</v>
      </c>
      <c r="F78" s="226"/>
      <c r="G78" s="227"/>
      <c r="H78" s="227"/>
      <c r="I78" s="227"/>
      <c r="J78" s="227"/>
      <c r="K78" s="227"/>
      <c r="L78" s="75"/>
      <c r="M78" s="75"/>
      <c r="N78" s="73"/>
      <c r="O78" s="73"/>
      <c r="P78" s="73"/>
      <c r="Q78" s="73"/>
      <c r="R78" s="73"/>
      <c r="S78" s="73"/>
      <c r="T78" s="73"/>
    </row>
    <row r="79" spans="2:20" s="34" customFormat="1" ht="18" customHeight="1" outlineLevel="1">
      <c r="B79" s="223" t="s">
        <v>82</v>
      </c>
      <c r="C79" s="224">
        <v>1</v>
      </c>
      <c r="D79" s="75"/>
      <c r="E79" s="225" t="s">
        <v>81</v>
      </c>
      <c r="F79" s="226"/>
      <c r="G79" s="227"/>
      <c r="H79" s="227"/>
      <c r="I79" s="227"/>
      <c r="J79" s="227"/>
      <c r="K79" s="227"/>
      <c r="L79" s="75"/>
      <c r="M79" s="75"/>
      <c r="N79" s="73"/>
      <c r="O79" s="73"/>
      <c r="P79" s="73"/>
      <c r="Q79" s="73"/>
      <c r="R79" s="73"/>
      <c r="S79" s="73"/>
      <c r="T79" s="73"/>
    </row>
    <row r="80" spans="2:20" s="34" customFormat="1" ht="18" customHeight="1" outlineLevel="1">
      <c r="B80" s="228" t="s">
        <v>83</v>
      </c>
      <c r="C80" s="171">
        <f>C78-C79</f>
        <v>0</v>
      </c>
      <c r="D80" s="75"/>
      <c r="E80" s="225" t="s">
        <v>98</v>
      </c>
      <c r="F80" s="229"/>
      <c r="G80" s="230"/>
      <c r="H80" s="230"/>
      <c r="I80" s="230"/>
      <c r="J80" s="230"/>
      <c r="K80" s="230"/>
      <c r="L80" s="75"/>
      <c r="M80" s="75"/>
      <c r="N80" s="73"/>
      <c r="O80" s="73"/>
      <c r="P80" s="73"/>
      <c r="Q80" s="73"/>
      <c r="R80" s="73"/>
      <c r="S80" s="73"/>
      <c r="T80" s="73"/>
    </row>
    <row r="81" spans="2:20" s="34" customFormat="1" ht="18" customHeight="1">
      <c r="B81" s="226" t="s">
        <v>84</v>
      </c>
      <c r="C81" s="231">
        <f>C77-C80</f>
        <v>102558.83207772869</v>
      </c>
      <c r="D81" s="75"/>
      <c r="E81" s="226" t="s">
        <v>0</v>
      </c>
      <c r="F81" s="226"/>
      <c r="G81" s="227">
        <f>EV/F20</f>
        <v>34186.277359242893</v>
      </c>
      <c r="H81" s="227">
        <f>EV/G20</f>
        <v>89.512625687198522</v>
      </c>
      <c r="I81" s="227">
        <f>EV/H20</f>
        <v>89.509538254618661</v>
      </c>
      <c r="J81" s="227">
        <f>EV/I20</f>
        <v>90.409708502069449</v>
      </c>
      <c r="K81" s="227">
        <f>EV/J20</f>
        <v>92.249765256969596</v>
      </c>
      <c r="L81" s="75"/>
      <c r="M81" s="75"/>
      <c r="N81" s="73"/>
      <c r="O81" s="73"/>
      <c r="P81" s="73"/>
      <c r="Q81" s="73"/>
      <c r="R81" s="73"/>
      <c r="S81" s="73"/>
      <c r="T81" s="73"/>
    </row>
    <row r="82" spans="2:20" s="34" customFormat="1" ht="18" customHeight="1" outlineLevel="1">
      <c r="B82" s="223" t="s">
        <v>85</v>
      </c>
      <c r="C82" s="171">
        <v>10000</v>
      </c>
      <c r="D82" s="75"/>
      <c r="E82" s="225" t="s">
        <v>81</v>
      </c>
      <c r="F82" s="229"/>
      <c r="G82" s="230"/>
      <c r="H82" s="230"/>
      <c r="I82" s="230"/>
      <c r="J82" s="230"/>
      <c r="K82" s="230"/>
      <c r="L82" s="75"/>
      <c r="M82" s="75"/>
      <c r="N82" s="73"/>
      <c r="O82" s="73"/>
      <c r="P82" s="73"/>
      <c r="Q82" s="73"/>
      <c r="R82" s="73"/>
      <c r="S82" s="73"/>
      <c r="T82" s="73"/>
    </row>
    <row r="83" spans="2:20" s="34" customFormat="1" ht="18" customHeight="1">
      <c r="B83" s="232" t="s">
        <v>86</v>
      </c>
      <c r="C83" s="233">
        <f>C81/C82</f>
        <v>10.255883207772868</v>
      </c>
      <c r="D83" s="75"/>
      <c r="E83" s="232" t="s">
        <v>1</v>
      </c>
      <c r="F83" s="232"/>
      <c r="G83" s="234">
        <f>EV/F63</f>
        <v>25639.708019432172</v>
      </c>
      <c r="H83" s="234">
        <f>EV/G63</f>
        <v>89.433787935721554</v>
      </c>
      <c r="I83" s="234">
        <f>EV/H63</f>
        <v>89.430705939131556</v>
      </c>
      <c r="J83" s="234">
        <f>EV/I63</f>
        <v>90.330086884047489</v>
      </c>
      <c r="K83" s="234">
        <f>EV/J63</f>
        <v>92.168527579858676</v>
      </c>
      <c r="L83" s="75"/>
      <c r="M83" s="75"/>
      <c r="N83" s="73"/>
      <c r="O83" s="73"/>
      <c r="P83" s="73"/>
      <c r="Q83" s="73"/>
      <c r="R83" s="73"/>
      <c r="S83" s="73"/>
      <c r="T83" s="73"/>
    </row>
    <row r="84" spans="2:20" s="34" customFormat="1" ht="18" customHeight="1">
      <c r="B84" s="67"/>
      <c r="C84" s="67"/>
      <c r="D84" s="75"/>
      <c r="E84" s="65"/>
      <c r="F84" s="67"/>
      <c r="G84" s="67"/>
      <c r="H84" s="67"/>
      <c r="I84" s="67"/>
      <c r="J84" s="67"/>
      <c r="K84" s="67"/>
      <c r="L84" s="75"/>
      <c r="M84" s="75"/>
      <c r="N84" s="73"/>
      <c r="O84" s="73"/>
      <c r="P84" s="73"/>
      <c r="Q84" s="73"/>
      <c r="R84" s="73"/>
      <c r="S84" s="73"/>
      <c r="T84" s="73"/>
    </row>
    <row r="85" spans="2:20" s="34" customFormat="1" ht="18" customHeight="1">
      <c r="B85" s="235" t="s">
        <v>87</v>
      </c>
      <c r="C85" s="236"/>
      <c r="D85" s="200"/>
      <c r="E85" s="73"/>
      <c r="F85" s="73"/>
      <c r="G85" s="73"/>
      <c r="H85" s="73"/>
      <c r="I85" s="73"/>
      <c r="J85" s="73"/>
      <c r="K85" s="73"/>
      <c r="L85" s="73"/>
      <c r="M85" s="75"/>
      <c r="N85" s="73"/>
      <c r="O85" s="73"/>
      <c r="P85" s="73"/>
      <c r="Q85" s="73"/>
      <c r="R85" s="73"/>
      <c r="S85" s="73"/>
      <c r="T85" s="73"/>
    </row>
    <row r="86" spans="2:20" s="34" customFormat="1" ht="18" customHeight="1">
      <c r="B86" s="237" t="s">
        <v>88</v>
      </c>
      <c r="C86" s="171">
        <f>K70</f>
        <v>1068.657213186375</v>
      </c>
      <c r="D86" s="238"/>
      <c r="E86" s="73"/>
      <c r="F86" s="73"/>
      <c r="G86" s="73"/>
      <c r="H86" s="73"/>
      <c r="I86" s="73"/>
      <c r="J86" s="73"/>
      <c r="K86" s="73"/>
      <c r="L86" s="73"/>
      <c r="M86" s="238"/>
      <c r="N86" s="73"/>
      <c r="O86" s="73"/>
      <c r="P86" s="73"/>
      <c r="Q86" s="73"/>
      <c r="R86" s="73"/>
      <c r="S86" s="73"/>
      <c r="T86" s="73"/>
    </row>
    <row r="87" spans="2:20" s="34" customFormat="1" ht="18" customHeight="1">
      <c r="B87" s="237" t="s">
        <v>89</v>
      </c>
      <c r="C87" s="239">
        <v>0.01</v>
      </c>
      <c r="D87" s="75"/>
      <c r="E87" s="73"/>
      <c r="F87" s="73"/>
      <c r="G87" s="73"/>
      <c r="H87" s="73"/>
      <c r="I87" s="73"/>
      <c r="J87" s="73"/>
      <c r="K87" s="73"/>
      <c r="L87" s="73"/>
      <c r="M87" s="75"/>
      <c r="N87" s="264"/>
      <c r="O87" s="264"/>
      <c r="P87" s="264"/>
      <c r="Q87" s="264"/>
      <c r="R87" s="264"/>
      <c r="S87" s="264"/>
      <c r="T87" s="264"/>
    </row>
    <row r="88" spans="2:20" s="34" customFormat="1" ht="18" customHeight="1">
      <c r="B88" s="237" t="s">
        <v>90</v>
      </c>
      <c r="C88" s="171">
        <f>K20</f>
        <v>1078.4715315512879</v>
      </c>
      <c r="D88" s="75"/>
      <c r="E88" s="73"/>
      <c r="F88" s="73"/>
      <c r="G88" s="73"/>
      <c r="H88" s="73"/>
      <c r="I88" s="73"/>
      <c r="J88" s="73"/>
      <c r="K88" s="73"/>
      <c r="L88" s="73"/>
      <c r="M88" s="75"/>
      <c r="N88" s="73"/>
      <c r="O88" s="73"/>
      <c r="P88" s="264"/>
      <c r="Q88" s="264"/>
      <c r="R88" s="264"/>
      <c r="S88" s="264"/>
      <c r="T88" s="264"/>
    </row>
    <row r="89" spans="2:20" s="34" customFormat="1" ht="18" customHeight="1">
      <c r="B89" s="237" t="s">
        <v>91</v>
      </c>
      <c r="C89" s="171">
        <f>C86*(1+C87)/(WACC-C87)</f>
        <v>108476.7623435416</v>
      </c>
      <c r="D89" s="75"/>
      <c r="E89" s="73"/>
      <c r="F89" s="73"/>
      <c r="G89" s="73"/>
      <c r="H89" s="73"/>
      <c r="I89" s="73"/>
      <c r="J89" s="73"/>
      <c r="K89" s="73"/>
      <c r="L89" s="73"/>
      <c r="M89" s="75"/>
      <c r="N89" s="251"/>
      <c r="O89" s="252"/>
      <c r="P89" s="253"/>
      <c r="Q89" s="253"/>
      <c r="R89" s="254"/>
      <c r="S89" s="253"/>
      <c r="T89" s="253"/>
    </row>
    <row r="90" spans="2:20" s="34" customFormat="1" ht="18" customHeight="1">
      <c r="B90" s="240" t="s">
        <v>92</v>
      </c>
      <c r="C90" s="241">
        <f>(C89*(1+WACC)^0.5)/C88</f>
        <v>101.58216629801004</v>
      </c>
      <c r="D90" s="75"/>
      <c r="E90" s="73"/>
      <c r="F90" s="73"/>
      <c r="G90" s="73"/>
      <c r="H90" s="73"/>
      <c r="I90" s="73"/>
      <c r="J90" s="73"/>
      <c r="K90" s="73"/>
      <c r="L90" s="73"/>
      <c r="M90" s="75"/>
      <c r="N90" s="255"/>
      <c r="O90" s="253"/>
      <c r="P90" s="256"/>
      <c r="Q90" s="256"/>
      <c r="R90" s="256"/>
      <c r="S90" s="256"/>
      <c r="T90" s="256"/>
    </row>
    <row r="91" spans="2:20" s="34" customFormat="1" ht="18" customHeight="1">
      <c r="B91" s="54" t="s">
        <v>7</v>
      </c>
      <c r="C91" s="55">
        <f>K72+0.5</f>
        <v>5.5</v>
      </c>
      <c r="D91" s="41"/>
      <c r="M91" s="35"/>
      <c r="N91" s="47"/>
      <c r="O91" s="45"/>
      <c r="P91" s="48"/>
      <c r="Q91" s="48"/>
      <c r="R91" s="48"/>
      <c r="S91" s="48"/>
      <c r="T91" s="48"/>
    </row>
    <row r="92" spans="2:20" s="34" customFormat="1" ht="18" customHeight="1">
      <c r="B92" s="54" t="s">
        <v>8</v>
      </c>
      <c r="C92" s="55">
        <f>1/((1+WACC)^C91)</f>
        <v>0.89704896071358642</v>
      </c>
      <c r="D92" s="37"/>
      <c r="M92" s="35"/>
      <c r="N92" s="47"/>
      <c r="O92" s="46"/>
      <c r="P92" s="48"/>
      <c r="Q92" s="48"/>
      <c r="R92" s="49"/>
      <c r="S92" s="48"/>
      <c r="T92" s="48"/>
    </row>
    <row r="93" spans="2:20" s="34" customFormat="1" ht="18" customHeight="1">
      <c r="B93" s="51" t="s">
        <v>9</v>
      </c>
      <c r="C93" s="50">
        <f>C89*C92</f>
        <v>97308.966921848696</v>
      </c>
      <c r="D93" s="35"/>
      <c r="M93" s="35"/>
      <c r="N93" s="47"/>
      <c r="O93" s="45"/>
      <c r="P93" s="48"/>
      <c r="Q93" s="48"/>
      <c r="R93" s="48"/>
      <c r="S93" s="48"/>
      <c r="T93" s="48"/>
    </row>
    <row r="94" spans="2:20" s="34" customFormat="1" ht="18" customHeight="1">
      <c r="B94" s="52" t="s">
        <v>10</v>
      </c>
      <c r="C94" s="53">
        <f>C93/'割引キャッシュ フロー - 空白'!C77</f>
        <v>0.94881118427810152</v>
      </c>
      <c r="D94" s="35"/>
      <c r="M94" s="35"/>
      <c r="N94" s="47"/>
      <c r="O94" s="45"/>
      <c r="P94" s="48"/>
      <c r="Q94" s="48"/>
      <c r="R94" s="48"/>
      <c r="S94" s="48"/>
      <c r="T94" s="48"/>
    </row>
    <row r="95" spans="2:20">
      <c r="B95" s="14"/>
      <c r="C95" s="16"/>
      <c r="D95" s="12"/>
      <c r="L95" s="20"/>
      <c r="M95" s="13"/>
    </row>
    <row r="96" spans="2:20">
      <c r="D96" s="12"/>
      <c r="L96" s="20"/>
      <c r="M96" s="13"/>
    </row>
    <row r="97" spans="2:13">
      <c r="D97" s="12"/>
      <c r="L97" s="20"/>
      <c r="M97" s="13"/>
    </row>
    <row r="98" spans="2:13">
      <c r="D98" s="12"/>
      <c r="L98" s="20"/>
      <c r="M98" s="13"/>
    </row>
    <row r="99" spans="2:13">
      <c r="D99" s="12"/>
      <c r="L99" s="20"/>
      <c r="M99" s="13"/>
    </row>
    <row r="100" spans="2:13" ht="13">
      <c r="B100" s="28"/>
      <c r="C100" s="27"/>
      <c r="D100" s="12"/>
      <c r="L100" s="20"/>
      <c r="M100" s="13"/>
    </row>
    <row r="101" spans="2:13">
      <c r="D101" s="12"/>
      <c r="L101" s="20"/>
      <c r="M101" s="13"/>
    </row>
    <row r="102" spans="2:13">
      <c r="D102" s="12"/>
      <c r="L102" s="20"/>
      <c r="M102" s="13"/>
    </row>
    <row r="103" spans="2:13">
      <c r="D103" s="12"/>
      <c r="E103" s="30"/>
      <c r="F103" s="13"/>
      <c r="G103" s="13"/>
      <c r="H103" s="13"/>
      <c r="I103" s="13"/>
      <c r="J103" s="13"/>
      <c r="K103" s="13"/>
      <c r="L103" s="13"/>
      <c r="M103" s="13"/>
    </row>
    <row r="104" spans="2:13">
      <c r="D104" s="10"/>
      <c r="E104" s="31"/>
      <c r="F104" s="31"/>
      <c r="G104" s="32"/>
      <c r="H104" s="32"/>
      <c r="I104" s="32"/>
      <c r="J104" s="32"/>
      <c r="K104" s="32"/>
      <c r="L104" s="31"/>
      <c r="M104" s="31"/>
    </row>
    <row r="105" spans="2:13">
      <c r="E105" s="22"/>
      <c r="F105" s="22"/>
      <c r="G105" s="22"/>
      <c r="H105" s="22"/>
      <c r="I105" s="22"/>
      <c r="J105" s="22"/>
      <c r="K105" s="22"/>
      <c r="L105" s="33"/>
      <c r="M105" s="33"/>
    </row>
    <row r="106" spans="2:13">
      <c r="E106" s="22"/>
      <c r="F106" s="22"/>
      <c r="G106" s="22"/>
      <c r="H106" s="22"/>
      <c r="I106" s="22"/>
      <c r="J106" s="22"/>
      <c r="K106" s="22"/>
      <c r="L106" s="33"/>
      <c r="M106" s="33"/>
    </row>
    <row r="107" spans="2:13">
      <c r="B107" s="18"/>
      <c r="C107" s="21"/>
    </row>
    <row r="112" spans="2:13">
      <c r="B112" s="18"/>
      <c r="C112" s="15"/>
    </row>
    <row r="113" spans="2:20" s="23" customFormat="1">
      <c r="D113" s="20"/>
      <c r="E113" s="20"/>
      <c r="F113" s="20"/>
      <c r="G113" s="20"/>
      <c r="H113" s="20"/>
      <c r="I113" s="20"/>
      <c r="J113" s="20"/>
      <c r="K113" s="20"/>
      <c r="L113" s="24"/>
      <c r="M113" s="24"/>
      <c r="N113" s="20"/>
      <c r="O113" s="20"/>
      <c r="P113" s="20"/>
      <c r="Q113" s="20"/>
      <c r="R113" s="20"/>
      <c r="S113" s="20"/>
      <c r="T113" s="20"/>
    </row>
    <row r="114" spans="2:20" s="23" customFormat="1">
      <c r="B114" s="19"/>
      <c r="C114" s="17"/>
      <c r="D114" s="20"/>
      <c r="E114" s="20"/>
      <c r="F114" s="20"/>
      <c r="G114" s="20"/>
      <c r="H114" s="20"/>
      <c r="I114" s="20"/>
      <c r="J114" s="20"/>
      <c r="K114" s="20"/>
      <c r="L114" s="24"/>
      <c r="M114" s="24"/>
    </row>
    <row r="115" spans="2:20">
      <c r="C115" s="29"/>
      <c r="N115" s="23"/>
      <c r="O115" s="23"/>
      <c r="P115" s="23"/>
      <c r="Q115" s="23"/>
      <c r="R115" s="23"/>
      <c r="S115" s="23"/>
      <c r="T115" s="23"/>
    </row>
    <row r="116" spans="2:20">
      <c r="C116" s="17"/>
      <c r="D116" s="2"/>
      <c r="E116" s="2"/>
      <c r="F116" s="2"/>
    </row>
    <row r="117" spans="2:20">
      <c r="C117" s="17"/>
      <c r="D117" s="2"/>
      <c r="E117" s="2"/>
      <c r="F117" s="2"/>
    </row>
    <row r="118" spans="2:20">
      <c r="C118" s="17"/>
      <c r="D118" s="2"/>
      <c r="E118" s="2"/>
      <c r="F118" s="2"/>
      <c r="L118" s="2"/>
      <c r="M118" s="2"/>
    </row>
    <row r="119" spans="2:20">
      <c r="C119" s="22"/>
      <c r="D119" s="4"/>
      <c r="E119" s="4"/>
      <c r="F119" s="4"/>
      <c r="G119" s="4"/>
      <c r="H119" s="4"/>
      <c r="I119" s="4"/>
      <c r="J119" s="4"/>
      <c r="K119" s="4"/>
      <c r="L119" s="4"/>
      <c r="M119" s="4"/>
    </row>
    <row r="120" spans="2:20">
      <c r="B120" s="1"/>
      <c r="C120" s="5"/>
      <c r="D120" s="5"/>
      <c r="E120" s="5"/>
      <c r="F120" s="5"/>
      <c r="L120" s="5"/>
      <c r="M120" s="5"/>
    </row>
    <row r="121" spans="2:20">
      <c r="B121" s="261"/>
      <c r="C121" s="6"/>
      <c r="D121" s="6"/>
      <c r="E121" s="6"/>
      <c r="F121" s="6"/>
      <c r="L121" s="6"/>
      <c r="M121" s="6"/>
    </row>
    <row r="122" spans="2:20">
      <c r="B122" s="261"/>
      <c r="C122" s="5"/>
      <c r="D122" s="5"/>
      <c r="E122" s="5"/>
      <c r="F122" s="5"/>
      <c r="L122" s="5"/>
      <c r="M122" s="5"/>
    </row>
    <row r="123" spans="2:20">
      <c r="B123" s="11"/>
      <c r="C123" s="2"/>
      <c r="D123" s="2"/>
      <c r="E123" s="2"/>
      <c r="F123" s="2"/>
      <c r="L123" s="2"/>
      <c r="M123" s="2"/>
    </row>
    <row r="124" spans="2:20">
      <c r="B124" s="11"/>
      <c r="C124" s="2"/>
      <c r="D124" s="2"/>
      <c r="E124" s="2"/>
      <c r="F124" s="2"/>
      <c r="L124" s="2"/>
      <c r="M124" s="2"/>
    </row>
    <row r="125" spans="2:20">
      <c r="B125" s="11"/>
      <c r="C125" s="7"/>
      <c r="D125" s="7"/>
      <c r="E125" s="7"/>
      <c r="F125" s="7"/>
      <c r="L125" s="7"/>
      <c r="M125" s="7"/>
    </row>
    <row r="126" spans="2:20" s="23" customFormat="1">
      <c r="B126" s="11"/>
      <c r="C126" s="2"/>
      <c r="D126" s="2"/>
      <c r="E126" s="2"/>
      <c r="F126" s="2"/>
      <c r="G126" s="20"/>
      <c r="H126" s="20"/>
      <c r="I126" s="20"/>
      <c r="J126" s="20"/>
      <c r="K126" s="20"/>
      <c r="L126" s="2"/>
      <c r="M126" s="2"/>
      <c r="N126" s="20"/>
      <c r="O126" s="20"/>
      <c r="P126" s="20"/>
      <c r="Q126" s="20"/>
      <c r="R126" s="20"/>
      <c r="S126" s="20"/>
      <c r="T126" s="20"/>
    </row>
    <row r="127" spans="2:20">
      <c r="B127" s="11"/>
      <c r="C127" s="2"/>
      <c r="D127" s="2"/>
      <c r="E127" s="2"/>
      <c r="F127" s="2"/>
      <c r="L127" s="2"/>
      <c r="M127" s="2"/>
      <c r="N127" s="23"/>
      <c r="O127" s="23"/>
      <c r="P127" s="23"/>
      <c r="Q127" s="23"/>
      <c r="R127" s="23"/>
      <c r="S127" s="23"/>
      <c r="T127" s="23"/>
    </row>
    <row r="128" spans="2:20">
      <c r="B128" s="11"/>
      <c r="C128" s="2"/>
      <c r="D128" s="2"/>
      <c r="E128" s="2"/>
      <c r="F128" s="2"/>
      <c r="L128" s="2"/>
      <c r="M128" s="2"/>
    </row>
    <row r="130" spans="2:13">
      <c r="B130" s="3"/>
      <c r="C130" s="8"/>
      <c r="D130" s="8"/>
      <c r="E130" s="8"/>
      <c r="F130" s="8"/>
      <c r="L130" s="8"/>
      <c r="M130" s="8"/>
    </row>
    <row r="131" spans="2:13">
      <c r="B131" s="1"/>
      <c r="C131" s="5"/>
      <c r="D131" s="5"/>
      <c r="E131" s="5"/>
      <c r="F131" s="5"/>
      <c r="L131" s="5"/>
      <c r="M131" s="5"/>
    </row>
    <row r="132" spans="2:13">
      <c r="B132" s="261"/>
      <c r="C132" s="6"/>
      <c r="D132" s="6"/>
      <c r="E132" s="6"/>
      <c r="F132" s="6"/>
      <c r="L132" s="6"/>
      <c r="M132" s="6"/>
    </row>
    <row r="133" spans="2:13">
      <c r="B133" s="261"/>
      <c r="C133" s="5"/>
      <c r="D133" s="5"/>
      <c r="E133" s="5"/>
      <c r="F133" s="5"/>
      <c r="L133" s="5"/>
      <c r="M133" s="5"/>
    </row>
    <row r="134" spans="2:13">
      <c r="B134" s="11"/>
      <c r="C134" s="2"/>
      <c r="D134" s="2"/>
      <c r="E134" s="2"/>
      <c r="F134" s="2"/>
      <c r="L134" s="2"/>
      <c r="M134" s="2"/>
    </row>
    <row r="136" spans="2:13">
      <c r="B136" s="11"/>
      <c r="C136" s="2"/>
      <c r="D136" s="2"/>
      <c r="E136" s="2"/>
      <c r="F136" s="2"/>
      <c r="L136" s="2"/>
      <c r="M136" s="2"/>
    </row>
    <row r="137" spans="2:13">
      <c r="B137" s="11"/>
      <c r="C137" s="2"/>
      <c r="D137" s="2"/>
      <c r="E137" s="2"/>
      <c r="F137" s="2"/>
      <c r="L137" s="2"/>
      <c r="M137" s="2"/>
    </row>
    <row r="138" spans="2:13">
      <c r="B138" s="11"/>
      <c r="C138" s="2"/>
      <c r="D138" s="2"/>
      <c r="E138" s="2"/>
      <c r="F138" s="2"/>
      <c r="L138" s="2"/>
      <c r="M138" s="2"/>
    </row>
    <row r="139" spans="2:13">
      <c r="B139" s="11"/>
      <c r="C139" s="2"/>
      <c r="D139" s="2"/>
      <c r="E139" s="2"/>
      <c r="F139" s="2"/>
      <c r="L139" s="2"/>
      <c r="M139" s="2"/>
    </row>
    <row r="140" spans="2:13">
      <c r="B140" s="11"/>
      <c r="C140" s="2"/>
      <c r="D140" s="2"/>
      <c r="E140" s="2"/>
      <c r="F140" s="2"/>
      <c r="L140" s="2"/>
      <c r="M140" s="2"/>
    </row>
    <row r="141" spans="2:13">
      <c r="B141" s="11"/>
      <c r="C141" s="2"/>
      <c r="D141" s="2"/>
      <c r="E141" s="2"/>
      <c r="F141" s="2"/>
      <c r="L141" s="2"/>
      <c r="M141" s="2"/>
    </row>
    <row r="142" spans="2:13">
      <c r="B142" s="11"/>
      <c r="C142" s="2"/>
      <c r="D142" s="2"/>
      <c r="E142" s="2"/>
      <c r="F142" s="2"/>
      <c r="L142" s="2"/>
      <c r="M142" s="2"/>
    </row>
    <row r="143" spans="2:13">
      <c r="B143" s="9"/>
      <c r="C143" s="6"/>
      <c r="D143" s="6"/>
      <c r="E143" s="6"/>
      <c r="F143" s="6"/>
      <c r="L143" s="6"/>
      <c r="M143" s="6"/>
    </row>
    <row r="144" spans="2:13">
      <c r="B144" s="3"/>
      <c r="C144" s="8"/>
      <c r="D144" s="8"/>
      <c r="E144" s="8"/>
      <c r="F144" s="8"/>
      <c r="L144" s="8"/>
      <c r="M144" s="8"/>
    </row>
    <row r="145" spans="2:13">
      <c r="B145" s="1"/>
      <c r="C145" s="5"/>
      <c r="D145" s="5"/>
      <c r="E145" s="5"/>
      <c r="F145" s="5"/>
      <c r="L145" s="5"/>
      <c r="M145" s="5"/>
    </row>
    <row r="146" spans="2:13">
      <c r="B146" s="261"/>
      <c r="C146" s="6"/>
      <c r="D146" s="6"/>
      <c r="E146" s="6"/>
      <c r="F146" s="6"/>
      <c r="L146" s="6"/>
      <c r="M146" s="6"/>
    </row>
    <row r="147" spans="2:13">
      <c r="B147" s="261"/>
      <c r="C147" s="5"/>
      <c r="D147" s="5"/>
      <c r="E147" s="5"/>
      <c r="F147" s="5"/>
      <c r="L147" s="5"/>
      <c r="M147" s="5"/>
    </row>
    <row r="148" spans="2:13">
      <c r="B148" s="11"/>
      <c r="C148" s="6"/>
      <c r="D148" s="6"/>
      <c r="E148" s="6"/>
      <c r="F148" s="6"/>
      <c r="L148" s="6"/>
      <c r="M148" s="6"/>
    </row>
    <row r="149" spans="2:13">
      <c r="B149" s="11"/>
      <c r="C149" s="6"/>
      <c r="D149" s="6"/>
      <c r="E149" s="6"/>
      <c r="F149" s="6"/>
      <c r="L149" s="6"/>
      <c r="M149" s="6"/>
    </row>
    <row r="150" spans="2:13">
      <c r="B150" s="11"/>
      <c r="C150" s="6"/>
      <c r="D150" s="6"/>
      <c r="E150" s="6"/>
      <c r="F150" s="6"/>
      <c r="L150" s="6"/>
      <c r="M150" s="6"/>
    </row>
    <row r="151" spans="2:13">
      <c r="B151" s="11"/>
      <c r="C151" s="6"/>
      <c r="D151" s="6"/>
      <c r="E151" s="6"/>
      <c r="F151" s="6"/>
      <c r="L151" s="6"/>
      <c r="M151" s="6"/>
    </row>
    <row r="152" spans="2:13">
      <c r="B152" s="11"/>
      <c r="C152" s="6"/>
      <c r="D152" s="6"/>
      <c r="E152" s="6"/>
      <c r="F152" s="6"/>
      <c r="L152" s="6"/>
      <c r="M152" s="6"/>
    </row>
    <row r="153" spans="2:13">
      <c r="B153" s="11"/>
      <c r="C153" s="6"/>
      <c r="D153" s="6"/>
      <c r="E153" s="6"/>
      <c r="F153" s="6"/>
      <c r="L153" s="6"/>
      <c r="M153" s="6"/>
    </row>
    <row r="154" spans="2:13">
      <c r="B154" s="11"/>
      <c r="C154" s="6"/>
      <c r="D154" s="6"/>
      <c r="E154" s="6"/>
      <c r="F154" s="6"/>
      <c r="L154" s="6"/>
      <c r="M154" s="6"/>
    </row>
    <row r="155" spans="2:13">
      <c r="B155" s="11"/>
      <c r="C155" s="6"/>
      <c r="D155" s="6"/>
      <c r="E155" s="6"/>
      <c r="F155" s="6"/>
      <c r="L155" s="6"/>
      <c r="M155" s="6"/>
    </row>
    <row r="156" spans="2:13">
      <c r="B156" s="11"/>
      <c r="C156" s="6"/>
      <c r="D156" s="6"/>
      <c r="E156" s="6"/>
      <c r="F156" s="6"/>
      <c r="L156" s="6"/>
      <c r="M156" s="6"/>
    </row>
    <row r="157" spans="2:13">
      <c r="B157" s="11"/>
      <c r="C157" s="6"/>
      <c r="D157" s="6"/>
      <c r="E157" s="6"/>
      <c r="F157" s="6"/>
      <c r="L157" s="6"/>
      <c r="M157" s="6"/>
    </row>
    <row r="158" spans="2:13">
      <c r="B158" s="11"/>
      <c r="C158" s="6"/>
      <c r="D158" s="6"/>
      <c r="E158" s="6"/>
      <c r="F158" s="6"/>
      <c r="L158" s="6"/>
      <c r="M158" s="6"/>
    </row>
    <row r="159" spans="2:13">
      <c r="B159" s="11"/>
      <c r="C159" s="6"/>
      <c r="D159" s="6"/>
      <c r="E159" s="6"/>
      <c r="F159" s="6"/>
      <c r="L159" s="6"/>
      <c r="M159" s="6"/>
    </row>
    <row r="160" spans="2:13">
      <c r="B160" s="11"/>
      <c r="C160" s="6"/>
      <c r="D160" s="6"/>
      <c r="E160" s="6"/>
      <c r="F160" s="6"/>
      <c r="L160" s="6"/>
      <c r="M160" s="6"/>
    </row>
    <row r="161" spans="2:13">
      <c r="B161" s="11"/>
      <c r="C161" s="6"/>
      <c r="D161" s="6"/>
      <c r="E161" s="6"/>
      <c r="F161" s="6"/>
      <c r="L161" s="6"/>
      <c r="M161" s="6"/>
    </row>
    <row r="162" spans="2:13">
      <c r="B162" s="11"/>
      <c r="C162" s="6"/>
      <c r="D162" s="6"/>
      <c r="E162" s="6"/>
      <c r="F162" s="6"/>
      <c r="L162" s="6"/>
      <c r="M162" s="6"/>
    </row>
    <row r="163" spans="2:13">
      <c r="B163" s="11"/>
      <c r="C163" s="6"/>
      <c r="D163" s="6"/>
      <c r="E163" s="6"/>
      <c r="F163" s="6"/>
      <c r="L163" s="6"/>
      <c r="M163" s="6"/>
    </row>
  </sheetData>
  <mergeCells count="7">
    <mergeCell ref="B132:B133"/>
    <mergeCell ref="B146:B147"/>
    <mergeCell ref="B3:C3"/>
    <mergeCell ref="P65:T65"/>
    <mergeCell ref="N87:T87"/>
    <mergeCell ref="P88:T88"/>
    <mergeCell ref="B121:B122"/>
  </mergeCells>
  <phoneticPr fontId="39" type="noConversion"/>
  <pageMargins left="0.3" right="0.3" top="0.3" bottom="0.3" header="0" footer="0"/>
  <pageSetup paperSize="9" scale="8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C16B3-D756-7446-A0D0-4724AC4D6216}">
  <sheetPr>
    <tabColor theme="1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60" customWidth="1"/>
    <col min="2" max="2" width="88.33203125" style="60" customWidth="1"/>
    <col min="3" max="16384" width="10.83203125" style="60"/>
  </cols>
  <sheetData>
    <row r="1" spans="2:2" ht="20" customHeight="1"/>
    <row r="2" spans="2:2" s="258" customFormat="1" ht="125.25" customHeight="1">
      <c r="B2" s="257" t="s">
        <v>99</v>
      </c>
    </row>
  </sheetData>
  <phoneticPr fontId="39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割引キャッシュ フロー - EX</vt:lpstr>
      <vt:lpstr>割引キャッシュ フロー - 空白</vt:lpstr>
      <vt:lpstr>– 免責条項 –</vt:lpstr>
      <vt:lpstr>'割引キャッシュ フロー - 空白'!EV</vt:lpstr>
      <vt:lpstr>EV</vt:lpstr>
      <vt:lpstr>'割引キャッシュ フロー - EX'!Print_Area</vt:lpstr>
      <vt:lpstr>'割引キャッシュ フロー - 空白'!Print_Area</vt:lpstr>
      <vt:lpstr>'割引キャッシュ フロー - 空白'!WACC</vt:lpstr>
      <vt:lpstr>WACC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2018-03-19T10:29:42Z</dcterms:created>
  <dcterms:modified xsi:type="dcterms:W3CDTF">2023-09-09T00:36:24Z</dcterms:modified>
  <cp:category/>
</cp:coreProperties>
</file>